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kuleuven.sharepoint.com/sites/T0001946/Shared Documents/00_General/Ecodesign tools website/ReDiM/"/>
    </mc:Choice>
  </mc:AlternateContent>
  <xr:revisionPtr revIDLastSave="1819" documentId="8_{965CA4E2-F940-433C-B64B-1FE6D53D2334}" xr6:coauthVersionLast="47" xr6:coauthVersionMax="47" xr10:uidLastSave="{63F1801E-E4D5-4BF2-B22E-633BB52C74EA}"/>
  <bookViews>
    <workbookView xWindow="-110" yWindow="-110" windowWidth="19420" windowHeight="11500" tabRatio="570" activeTab="2" xr2:uid="{00000000-000D-0000-FFFF-FFFF00000000}"/>
  </bookViews>
  <sheets>
    <sheet name="Instructions" sheetId="23" r:id="rId1"/>
    <sheet name="Re-DiM_Template" sheetId="21" r:id="rId2"/>
    <sheet name="Re-DiM_Example_PC" sheetId="32" r:id="rId3"/>
    <sheet name="Re-DiM_Example_PriorityPart_FAN" sheetId="33" r:id="rId4"/>
    <sheet name="Connectors List" sheetId="18" r:id="rId5"/>
    <sheet name="Action Time" sheetId="15" r:id="rId6"/>
  </sheets>
  <definedNames>
    <definedName name="Connector_list" localSheetId="2">Connectors_Table[Connector List]</definedName>
    <definedName name="Connector_list" localSheetId="3">Connectors_Table[Connector List]</definedName>
    <definedName name="Connector_list" localSheetId="1">Connectors_Table[Connector List]</definedName>
    <definedName name="Connector_list">Connectors_Table[Connector List]</definedName>
    <definedName name="manipulation_type" localSheetId="2">manipulation_table[Manipulation]</definedName>
    <definedName name="manipulation_type" localSheetId="3">manipulation_table[Manipulation]</definedName>
    <definedName name="manipulation_type" localSheetId="1">manipulation_table[Manipulation]</definedName>
    <definedName name="manipulation_type">manipulation_table[Manipulation]</definedName>
    <definedName name="manual_tool_change" localSheetId="2">manual_tool_change_table[Manual Tool Change]</definedName>
    <definedName name="manual_tool_change" localSheetId="3">manual_tool_change_table[Manual Tool Change]</definedName>
    <definedName name="manual_tool_change">manual_tool_change_table[Manual Tool Change]</definedName>
    <definedName name="positioning_type" localSheetId="2">position_table[Positioning]</definedName>
    <definedName name="positioning_type" localSheetId="3">position_table[Positioning]</definedName>
    <definedName name="positioning_type" localSheetId="1">position_table[Positioning]</definedName>
    <definedName name="positioning_type">position_table[Positioning]</definedName>
    <definedName name="removal_type" localSheetId="2">removal_table[Removal Type]</definedName>
    <definedName name="removal_type" localSheetId="3">removal_table[Removal Type]</definedName>
    <definedName name="removal_type" localSheetId="1">removal_table[Removal Type]</definedName>
    <definedName name="removal_type">removal_table[Removal Type]</definedName>
    <definedName name="Robot_parameter_list" localSheetId="2">robot_parameter_table[[#All],[Parameter Values]]</definedName>
    <definedName name="Robot_parameter_list" localSheetId="3">robot_parameter_table[[#All],[Parameter Values]]</definedName>
    <definedName name="Robot_parameter_list">robot_parameter_table[[#All],[Parameter Values]]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 i="21" l="1"/>
  <c r="AB13" i="21"/>
  <c r="AG6" i="21"/>
  <c r="AG7" i="21"/>
  <c r="AG8" i="21"/>
  <c r="AG9" i="21"/>
  <c r="AG10" i="21"/>
  <c r="AG11" i="21"/>
  <c r="AG12" i="21"/>
  <c r="AG13" i="21"/>
  <c r="AG14" i="21"/>
  <c r="AG15" i="21"/>
  <c r="AG16" i="21"/>
  <c r="AG17" i="21"/>
  <c r="AG18" i="21"/>
  <c r="AG19" i="21"/>
  <c r="AG20" i="21"/>
  <c r="AG21" i="21"/>
  <c r="AG22" i="21"/>
  <c r="AG23" i="21"/>
  <c r="AG24" i="21"/>
  <c r="AG25" i="21"/>
  <c r="AG26" i="21"/>
  <c r="AG27" i="21"/>
  <c r="AG28" i="21"/>
  <c r="AG5" i="21"/>
  <c r="AF6" i="21"/>
  <c r="AF7" i="21"/>
  <c r="AF8" i="21"/>
  <c r="AF9" i="21"/>
  <c r="AF10" i="21"/>
  <c r="AF11" i="21"/>
  <c r="AF12" i="21"/>
  <c r="AF13" i="21"/>
  <c r="AF14" i="21"/>
  <c r="AF15" i="21"/>
  <c r="AF16" i="21"/>
  <c r="AF17" i="21"/>
  <c r="AF18" i="21"/>
  <c r="AF19" i="21"/>
  <c r="AF20" i="21"/>
  <c r="AF21" i="21"/>
  <c r="AF22" i="21"/>
  <c r="AF23" i="21"/>
  <c r="AF24" i="21"/>
  <c r="AF25" i="21"/>
  <c r="AF26" i="21"/>
  <c r="AF27" i="21"/>
  <c r="AF28" i="21"/>
  <c r="AF5" i="21"/>
  <c r="AE6" i="21"/>
  <c r="AE7" i="21"/>
  <c r="AE8" i="21"/>
  <c r="AE9" i="21"/>
  <c r="AE10" i="21"/>
  <c r="AE11" i="21"/>
  <c r="AE12" i="21"/>
  <c r="AE13" i="21"/>
  <c r="AE14" i="21"/>
  <c r="AE15" i="21"/>
  <c r="AE16" i="21"/>
  <c r="AE17" i="21"/>
  <c r="AE18" i="21"/>
  <c r="AE19" i="21"/>
  <c r="AE20" i="21"/>
  <c r="AE21" i="21"/>
  <c r="AE22" i="21"/>
  <c r="AE23" i="21"/>
  <c r="AE24" i="21"/>
  <c r="AE25" i="21"/>
  <c r="AE26" i="21"/>
  <c r="AE27" i="21"/>
  <c r="AE28" i="21"/>
  <c r="AE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5" i="21"/>
  <c r="Z6" i="21"/>
  <c r="Z7" i="21"/>
  <c r="Z8" i="21"/>
  <c r="Z9" i="21"/>
  <c r="Z10" i="21"/>
  <c r="Z11" i="21"/>
  <c r="Z12" i="21"/>
  <c r="Z13" i="21"/>
  <c r="Z14" i="21"/>
  <c r="Z15" i="21"/>
  <c r="Z16" i="21"/>
  <c r="Z17" i="21"/>
  <c r="Z18" i="21"/>
  <c r="Z19" i="21"/>
  <c r="Z20" i="21"/>
  <c r="Z21" i="21"/>
  <c r="Z22" i="21"/>
  <c r="Z23" i="21"/>
  <c r="Z24" i="21"/>
  <c r="Z25" i="21"/>
  <c r="Z26" i="21"/>
  <c r="Z27" i="21"/>
  <c r="Z28" i="21"/>
  <c r="Z5" i="21"/>
  <c r="Y6" i="21"/>
  <c r="Y7" i="21"/>
  <c r="Y8" i="21"/>
  <c r="Y9" i="21"/>
  <c r="Y10" i="21"/>
  <c r="AB10" i="21" s="1"/>
  <c r="Y11" i="21"/>
  <c r="Y12" i="21"/>
  <c r="Y13" i="21"/>
  <c r="Y14" i="21"/>
  <c r="Y15" i="21"/>
  <c r="Y16" i="21"/>
  <c r="Y17" i="21"/>
  <c r="Y18" i="21"/>
  <c r="Y19" i="21"/>
  <c r="Y20" i="21"/>
  <c r="Y21" i="21"/>
  <c r="Y22" i="21"/>
  <c r="Y23" i="21"/>
  <c r="Y24" i="21"/>
  <c r="Y25" i="21"/>
  <c r="Y26" i="21"/>
  <c r="Y27" i="21"/>
  <c r="Y28" i="21"/>
  <c r="Y5" i="21"/>
  <c r="X6" i="21"/>
  <c r="X7" i="21"/>
  <c r="X8" i="21"/>
  <c r="X9" i="21"/>
  <c r="X10" i="21"/>
  <c r="X11" i="21"/>
  <c r="X12" i="21"/>
  <c r="X13" i="21"/>
  <c r="X14" i="21"/>
  <c r="X15" i="21"/>
  <c r="X16" i="21"/>
  <c r="X17" i="21"/>
  <c r="X18" i="21"/>
  <c r="X19" i="21"/>
  <c r="X20" i="21"/>
  <c r="X21" i="21"/>
  <c r="X22" i="21"/>
  <c r="X23" i="21"/>
  <c r="X24" i="21"/>
  <c r="X25" i="21"/>
  <c r="X26" i="21"/>
  <c r="X27" i="21"/>
  <c r="X28" i="21"/>
  <c r="X5" i="21"/>
  <c r="V6" i="21"/>
  <c r="V7" i="21"/>
  <c r="V8" i="21"/>
  <c r="V9" i="21"/>
  <c r="V10" i="21"/>
  <c r="V11" i="21"/>
  <c r="V12" i="21"/>
  <c r="V13" i="21"/>
  <c r="V14" i="21"/>
  <c r="V15" i="21"/>
  <c r="V16" i="21"/>
  <c r="V17" i="21"/>
  <c r="V18" i="21"/>
  <c r="V19" i="21"/>
  <c r="V20" i="21"/>
  <c r="V21" i="21"/>
  <c r="V22" i="21"/>
  <c r="V23" i="21"/>
  <c r="V24" i="21"/>
  <c r="V25" i="21"/>
  <c r="V26" i="21"/>
  <c r="V27" i="21"/>
  <c r="V28" i="21"/>
  <c r="V5" i="32"/>
  <c r="V5" i="21"/>
  <c r="W25" i="21"/>
  <c r="AH11" i="33"/>
  <c r="AG11" i="33"/>
  <c r="AF11" i="33"/>
  <c r="AE11" i="33"/>
  <c r="AD11" i="33"/>
  <c r="AC11" i="33"/>
  <c r="AA11" i="33"/>
  <c r="Z11" i="33"/>
  <c r="Y11" i="33"/>
  <c r="X11" i="33"/>
  <c r="W11" i="33"/>
  <c r="V11" i="33"/>
  <c r="AH10" i="33"/>
  <c r="AG10" i="33"/>
  <c r="AF10" i="33"/>
  <c r="AE10" i="33"/>
  <c r="AD10" i="33"/>
  <c r="AC10" i="33"/>
  <c r="AA10" i="33"/>
  <c r="Z10" i="33"/>
  <c r="Y10" i="33"/>
  <c r="X10" i="33"/>
  <c r="W10" i="33"/>
  <c r="V10" i="33"/>
  <c r="AH9" i="33"/>
  <c r="AG9" i="33"/>
  <c r="AF9" i="33"/>
  <c r="AE9" i="33"/>
  <c r="AD9" i="33"/>
  <c r="AC9" i="33"/>
  <c r="AA9" i="33"/>
  <c r="Z9" i="33"/>
  <c r="Y9" i="33"/>
  <c r="X9" i="33"/>
  <c r="W9" i="33"/>
  <c r="V9" i="33"/>
  <c r="AH8" i="33"/>
  <c r="AG8" i="33"/>
  <c r="AF8" i="33"/>
  <c r="AE8" i="33"/>
  <c r="AD8" i="33"/>
  <c r="AC8" i="33"/>
  <c r="AA8" i="33"/>
  <c r="Z8" i="33"/>
  <c r="Y8" i="33"/>
  <c r="X8" i="33"/>
  <c r="W8" i="33"/>
  <c r="V8" i="33"/>
  <c r="AB8" i="33" s="1"/>
  <c r="AJ8" i="33" s="1"/>
  <c r="AJ7" i="33"/>
  <c r="AH7" i="33"/>
  <c r="AG7" i="33"/>
  <c r="AF7" i="33"/>
  <c r="AE7" i="33"/>
  <c r="AD7" i="33"/>
  <c r="AC7" i="33"/>
  <c r="AA7" i="33"/>
  <c r="Z7" i="33"/>
  <c r="Y7" i="33"/>
  <c r="X7" i="33"/>
  <c r="W7" i="33"/>
  <c r="V7" i="33"/>
  <c r="AJ6" i="33"/>
  <c r="AH6" i="33"/>
  <c r="AG6" i="33"/>
  <c r="AF6" i="33"/>
  <c r="AE6" i="33"/>
  <c r="AD6" i="33"/>
  <c r="AC6" i="33"/>
  <c r="AA6" i="33"/>
  <c r="Z6" i="33"/>
  <c r="Y6" i="33"/>
  <c r="X6" i="33"/>
  <c r="W6" i="33"/>
  <c r="V6" i="33"/>
  <c r="AJ5" i="33"/>
  <c r="AK5" i="33" s="1"/>
  <c r="AH5" i="33"/>
  <c r="AH12" i="33" s="1"/>
  <c r="AG5" i="33"/>
  <c r="AF5" i="33"/>
  <c r="AE5" i="33"/>
  <c r="AD5" i="33"/>
  <c r="AD12" i="33" s="1"/>
  <c r="AC5" i="33"/>
  <c r="AA5" i="33"/>
  <c r="Z5" i="33"/>
  <c r="Y5" i="33"/>
  <c r="X5" i="33"/>
  <c r="X12" i="33" s="1"/>
  <c r="W5" i="33"/>
  <c r="V5" i="33"/>
  <c r="AH28" i="32"/>
  <c r="AG28" i="32"/>
  <c r="AF28" i="32"/>
  <c r="AE28" i="32"/>
  <c r="AD28" i="32"/>
  <c r="AC28" i="32"/>
  <c r="AA28" i="32"/>
  <c r="Z28" i="32"/>
  <c r="Y28" i="32"/>
  <c r="X28" i="32"/>
  <c r="W28" i="32"/>
  <c r="V28" i="32"/>
  <c r="AJ27" i="32"/>
  <c r="AH27" i="32"/>
  <c r="AG27" i="32"/>
  <c r="AF27" i="32"/>
  <c r="AE27" i="32"/>
  <c r="AD27" i="32"/>
  <c r="AC27" i="32"/>
  <c r="AA27" i="32"/>
  <c r="Z27" i="32"/>
  <c r="Y27" i="32"/>
  <c r="X27" i="32"/>
  <c r="W27" i="32"/>
  <c r="V27" i="32"/>
  <c r="AJ26" i="32"/>
  <c r="AH26" i="32"/>
  <c r="AG26" i="32"/>
  <c r="AF26" i="32"/>
  <c r="AE26" i="32"/>
  <c r="AD26" i="32"/>
  <c r="AC26" i="32"/>
  <c r="AA26" i="32"/>
  <c r="Z26" i="32"/>
  <c r="Y26" i="32"/>
  <c r="X26" i="32"/>
  <c r="W26" i="32"/>
  <c r="V26" i="32"/>
  <c r="AJ25" i="32"/>
  <c r="AH25" i="32"/>
  <c r="AG25" i="32"/>
  <c r="AF25" i="32"/>
  <c r="AE25" i="32"/>
  <c r="AD25" i="32"/>
  <c r="AC25" i="32"/>
  <c r="AA25" i="32"/>
  <c r="Z25" i="32"/>
  <c r="Y25" i="32"/>
  <c r="X25" i="32"/>
  <c r="W25" i="32"/>
  <c r="V25" i="32"/>
  <c r="AJ24" i="32"/>
  <c r="AH24" i="32"/>
  <c r="AG24" i="32"/>
  <c r="AF24" i="32"/>
  <c r="AE24" i="32"/>
  <c r="AD24" i="32"/>
  <c r="AC24" i="32"/>
  <c r="AA24" i="32"/>
  <c r="Z24" i="32"/>
  <c r="Y24" i="32"/>
  <c r="X24" i="32"/>
  <c r="W24" i="32"/>
  <c r="V24" i="32"/>
  <c r="AJ23" i="32"/>
  <c r="AH23" i="32"/>
  <c r="AG23" i="32"/>
  <c r="AF23" i="32"/>
  <c r="AE23" i="32"/>
  <c r="AD23" i="32"/>
  <c r="AC23" i="32"/>
  <c r="AA23" i="32"/>
  <c r="Z23" i="32"/>
  <c r="Y23" i="32"/>
  <c r="X23" i="32"/>
  <c r="W23" i="32"/>
  <c r="V23" i="32"/>
  <c r="AH22" i="32"/>
  <c r="AG22" i="32"/>
  <c r="AF22" i="32"/>
  <c r="AE22" i="32"/>
  <c r="AD22" i="32"/>
  <c r="AC22" i="32"/>
  <c r="AA22" i="32"/>
  <c r="Z22" i="32"/>
  <c r="Y22" i="32"/>
  <c r="X22" i="32"/>
  <c r="W22" i="32"/>
  <c r="V22" i="32"/>
  <c r="AH21" i="32"/>
  <c r="AG21" i="32"/>
  <c r="AF21" i="32"/>
  <c r="AE21" i="32"/>
  <c r="AD21" i="32"/>
  <c r="AC21" i="32"/>
  <c r="AA21" i="32"/>
  <c r="Z21" i="32"/>
  <c r="Y21" i="32"/>
  <c r="X21" i="32"/>
  <c r="W21" i="32"/>
  <c r="V21" i="32"/>
  <c r="AJ20" i="32"/>
  <c r="AH20" i="32"/>
  <c r="AG20" i="32"/>
  <c r="AF20" i="32"/>
  <c r="AE20" i="32"/>
  <c r="AD20" i="32"/>
  <c r="AC20" i="32"/>
  <c r="AA20" i="32"/>
  <c r="Z20" i="32"/>
  <c r="Y20" i="32"/>
  <c r="X20" i="32"/>
  <c r="W20" i="32"/>
  <c r="V20" i="32"/>
  <c r="AH19" i="32"/>
  <c r="AG19" i="32"/>
  <c r="AF19" i="32"/>
  <c r="AE19" i="32"/>
  <c r="AD19" i="32"/>
  <c r="AC19" i="32"/>
  <c r="AA19" i="32"/>
  <c r="Z19" i="32"/>
  <c r="Y19" i="32"/>
  <c r="X19" i="32"/>
  <c r="W19" i="32"/>
  <c r="V19" i="32"/>
  <c r="AH18" i="32"/>
  <c r="AG18" i="32"/>
  <c r="AF18" i="32"/>
  <c r="AE18" i="32"/>
  <c r="AD18" i="32"/>
  <c r="AC18" i="32"/>
  <c r="AA18" i="32"/>
  <c r="Z18" i="32"/>
  <c r="Y18" i="32"/>
  <c r="X18" i="32"/>
  <c r="W18" i="32"/>
  <c r="V18" i="32"/>
  <c r="AJ17" i="32"/>
  <c r="AH17" i="32"/>
  <c r="AG17" i="32"/>
  <c r="AF17" i="32"/>
  <c r="AE17" i="32"/>
  <c r="AD17" i="32"/>
  <c r="AC17" i="32"/>
  <c r="AA17" i="32"/>
  <c r="Z17" i="32"/>
  <c r="Y17" i="32"/>
  <c r="X17" i="32"/>
  <c r="W17" i="32"/>
  <c r="V17" i="32"/>
  <c r="AH16" i="32"/>
  <c r="AG16" i="32"/>
  <c r="AF16" i="32"/>
  <c r="AE16" i="32"/>
  <c r="AD16" i="32"/>
  <c r="AC16" i="32"/>
  <c r="AA16" i="32"/>
  <c r="Z16" i="32"/>
  <c r="Y16" i="32"/>
  <c r="X16" i="32"/>
  <c r="W16" i="32"/>
  <c r="V16" i="32"/>
  <c r="AH15" i="32"/>
  <c r="AG15" i="32"/>
  <c r="AF15" i="32"/>
  <c r="AE15" i="32"/>
  <c r="AD15" i="32"/>
  <c r="AC15" i="32"/>
  <c r="AA15" i="32"/>
  <c r="Z15" i="32"/>
  <c r="Y15" i="32"/>
  <c r="X15" i="32"/>
  <c r="W15" i="32"/>
  <c r="V15" i="32"/>
  <c r="AJ14" i="32"/>
  <c r="AH14" i="32"/>
  <c r="AG14" i="32"/>
  <c r="AF14" i="32"/>
  <c r="AE14" i="32"/>
  <c r="AD14" i="32"/>
  <c r="AC14" i="32"/>
  <c r="AA14" i="32"/>
  <c r="Z14" i="32"/>
  <c r="Y14" i="32"/>
  <c r="X14" i="32"/>
  <c r="W14" i="32"/>
  <c r="V14" i="32"/>
  <c r="AJ13" i="32"/>
  <c r="AH13" i="32"/>
  <c r="AG13" i="32"/>
  <c r="AF13" i="32"/>
  <c r="AE13" i="32"/>
  <c r="AD13" i="32"/>
  <c r="AC13" i="32"/>
  <c r="AA13" i="32"/>
  <c r="Z13" i="32"/>
  <c r="Y13" i="32"/>
  <c r="X13" i="32"/>
  <c r="W13" i="32"/>
  <c r="V13" i="32"/>
  <c r="AH12" i="32"/>
  <c r="AG12" i="32"/>
  <c r="AF12" i="32"/>
  <c r="AE12" i="32"/>
  <c r="AD12" i="32"/>
  <c r="AC12" i="32"/>
  <c r="AA12" i="32"/>
  <c r="Z12" i="32"/>
  <c r="Y12" i="32"/>
  <c r="X12" i="32"/>
  <c r="W12" i="32"/>
  <c r="V12" i="32"/>
  <c r="AH11" i="32"/>
  <c r="AG11" i="32"/>
  <c r="AF11" i="32"/>
  <c r="AE11" i="32"/>
  <c r="AD11" i="32"/>
  <c r="AC11" i="32"/>
  <c r="AA11" i="32"/>
  <c r="Z11" i="32"/>
  <c r="Y11" i="32"/>
  <c r="X11" i="32"/>
  <c r="W11" i="32"/>
  <c r="V11" i="32"/>
  <c r="AH10" i="32"/>
  <c r="AG10" i="32"/>
  <c r="AF10" i="32"/>
  <c r="AE10" i="32"/>
  <c r="AD10" i="32"/>
  <c r="AC10" i="32"/>
  <c r="AA10" i="32"/>
  <c r="Z10" i="32"/>
  <c r="Y10" i="32"/>
  <c r="X10" i="32"/>
  <c r="W10" i="32"/>
  <c r="V10" i="32"/>
  <c r="AH9" i="32"/>
  <c r="AG9" i="32"/>
  <c r="AF9" i="32"/>
  <c r="AE9" i="32"/>
  <c r="AD9" i="32"/>
  <c r="AC9" i="32"/>
  <c r="AA9" i="32"/>
  <c r="Z9" i="32"/>
  <c r="Y9" i="32"/>
  <c r="X9" i="32"/>
  <c r="W9" i="32"/>
  <c r="V9" i="32"/>
  <c r="AH8" i="32"/>
  <c r="AG8" i="32"/>
  <c r="AF8" i="32"/>
  <c r="AE8" i="32"/>
  <c r="AD8" i="32"/>
  <c r="AC8" i="32"/>
  <c r="AA8" i="32"/>
  <c r="Z8" i="32"/>
  <c r="Y8" i="32"/>
  <c r="X8" i="32"/>
  <c r="W8" i="32"/>
  <c r="V8" i="32"/>
  <c r="AJ7" i="32"/>
  <c r="AH7" i="32"/>
  <c r="AG7" i="32"/>
  <c r="AF7" i="32"/>
  <c r="AE7" i="32"/>
  <c r="AD7" i="32"/>
  <c r="AC7" i="32"/>
  <c r="AA7" i="32"/>
  <c r="Z7" i="32"/>
  <c r="Y7" i="32"/>
  <c r="X7" i="32"/>
  <c r="W7" i="32"/>
  <c r="V7" i="32"/>
  <c r="AJ6" i="32"/>
  <c r="AH6" i="32"/>
  <c r="AG6" i="32"/>
  <c r="AF6" i="32"/>
  <c r="AE6" i="32"/>
  <c r="AD6" i="32"/>
  <c r="AC6" i="32"/>
  <c r="AA6" i="32"/>
  <c r="Z6" i="32"/>
  <c r="Y6" i="32"/>
  <c r="X6" i="32"/>
  <c r="W6" i="32"/>
  <c r="V6" i="32"/>
  <c r="AJ5" i="32"/>
  <c r="AH5" i="32"/>
  <c r="AG5" i="32"/>
  <c r="AF5" i="32"/>
  <c r="AE5" i="32"/>
  <c r="AD5" i="32"/>
  <c r="AC5" i="32"/>
  <c r="AA5" i="32"/>
  <c r="Z5" i="32"/>
  <c r="Y5" i="32"/>
  <c r="X5" i="32"/>
  <c r="W5" i="32"/>
  <c r="AJ6" i="21"/>
  <c r="AJ7" i="21"/>
  <c r="AJ8" i="21"/>
  <c r="AJ9" i="21"/>
  <c r="AJ10" i="21"/>
  <c r="AJ11" i="21"/>
  <c r="AJ12" i="21"/>
  <c r="AJ13" i="21"/>
  <c r="AJ14" i="21"/>
  <c r="AJ15" i="21"/>
  <c r="AJ16" i="21"/>
  <c r="AJ17" i="21"/>
  <c r="AJ18" i="21"/>
  <c r="AJ19" i="21"/>
  <c r="AJ20" i="21"/>
  <c r="AJ21" i="21"/>
  <c r="AJ22" i="21"/>
  <c r="AJ23" i="21"/>
  <c r="AJ24" i="21"/>
  <c r="AJ25" i="21"/>
  <c r="AJ26" i="21"/>
  <c r="AJ27" i="21"/>
  <c r="AJ28" i="21"/>
  <c r="AJ5" i="21"/>
  <c r="AD6" i="21"/>
  <c r="AH6" i="21"/>
  <c r="AD7" i="21"/>
  <c r="AH7" i="21"/>
  <c r="AD8" i="21"/>
  <c r="AH8" i="21"/>
  <c r="AD9" i="21"/>
  <c r="AH9" i="21"/>
  <c r="AD10" i="21"/>
  <c r="AH10" i="21"/>
  <c r="AD11" i="21"/>
  <c r="AH11" i="21"/>
  <c r="AD12" i="21"/>
  <c r="AH12" i="21"/>
  <c r="AD13" i="21"/>
  <c r="AH13" i="21"/>
  <c r="AD14" i="21"/>
  <c r="AH14" i="21"/>
  <c r="AD15" i="21"/>
  <c r="AH15" i="21"/>
  <c r="AD16" i="21"/>
  <c r="AH16" i="21"/>
  <c r="AD17" i="21"/>
  <c r="AH17" i="21"/>
  <c r="AD18" i="21"/>
  <c r="AH18" i="21"/>
  <c r="AD19" i="21"/>
  <c r="AH19" i="21"/>
  <c r="AD20" i="21"/>
  <c r="AH20" i="21"/>
  <c r="AD21" i="21"/>
  <c r="AH21" i="21"/>
  <c r="AD22" i="21"/>
  <c r="AH22" i="21"/>
  <c r="AD23" i="21"/>
  <c r="AH23" i="21"/>
  <c r="AD24" i="21"/>
  <c r="AH24" i="21"/>
  <c r="AD25" i="21"/>
  <c r="AH25" i="21"/>
  <c r="AD26" i="21"/>
  <c r="AH26" i="21"/>
  <c r="AD27" i="21"/>
  <c r="AH27" i="21"/>
  <c r="AD28" i="21"/>
  <c r="AH28" i="21"/>
  <c r="AH5" i="21"/>
  <c r="AD5" i="21"/>
  <c r="W8" i="21"/>
  <c r="W9" i="21"/>
  <c r="W10" i="21"/>
  <c r="W11" i="21"/>
  <c r="W12" i="21"/>
  <c r="W13" i="21"/>
  <c r="W14" i="21"/>
  <c r="W15" i="21"/>
  <c r="W16" i="21"/>
  <c r="W17" i="21"/>
  <c r="W18" i="21"/>
  <c r="W19" i="21"/>
  <c r="W20" i="21"/>
  <c r="W21" i="21"/>
  <c r="W22" i="21"/>
  <c r="W23" i="21"/>
  <c r="W24" i="21"/>
  <c r="W26" i="21"/>
  <c r="W27" i="21"/>
  <c r="W28" i="21"/>
  <c r="V29" i="21" l="1"/>
  <c r="AI10" i="21"/>
  <c r="AI9" i="21"/>
  <c r="AD29" i="21"/>
  <c r="AI6" i="33"/>
  <c r="AK25" i="32"/>
  <c r="AB16" i="32"/>
  <c r="AJ16" i="32" s="1"/>
  <c r="AK17" i="32" s="1"/>
  <c r="AI13" i="32"/>
  <c r="Z12" i="33"/>
  <c r="AK7" i="33"/>
  <c r="AG12" i="33"/>
  <c r="AB11" i="33"/>
  <c r="AJ11" i="33" s="1"/>
  <c r="AI11" i="33"/>
  <c r="AB10" i="33"/>
  <c r="AJ10" i="33" s="1"/>
  <c r="AK6" i="33"/>
  <c r="AB7" i="33"/>
  <c r="AI9" i="33"/>
  <c r="AB6" i="33"/>
  <c r="V12" i="33"/>
  <c r="AI8" i="33"/>
  <c r="W12" i="33"/>
  <c r="AI7" i="33"/>
  <c r="Y12" i="33"/>
  <c r="AA12" i="33"/>
  <c r="AI5" i="33"/>
  <c r="AB9" i="33"/>
  <c r="AJ9" i="33" s="1"/>
  <c r="AE12" i="33"/>
  <c r="AI10" i="33"/>
  <c r="AF12" i="33"/>
  <c r="AK8" i="33"/>
  <c r="AB5" i="33"/>
  <c r="AC12" i="33"/>
  <c r="AH29" i="21"/>
  <c r="AB11" i="32"/>
  <c r="AJ11" i="32" s="1"/>
  <c r="AB18" i="32"/>
  <c r="AJ18" i="32" s="1"/>
  <c r="AK18" i="32" s="1"/>
  <c r="AB7" i="32"/>
  <c r="AB14" i="32"/>
  <c r="AB23" i="32"/>
  <c r="AI25" i="32"/>
  <c r="AI20" i="32"/>
  <c r="AB27" i="32"/>
  <c r="AA29" i="32"/>
  <c r="AI5" i="32"/>
  <c r="AI9" i="32"/>
  <c r="AB24" i="32"/>
  <c r="AI26" i="32"/>
  <c r="AE29" i="32"/>
  <c r="AB13" i="32"/>
  <c r="AB12" i="32"/>
  <c r="AJ12" i="32" s="1"/>
  <c r="AK13" i="32" s="1"/>
  <c r="AB17" i="32"/>
  <c r="AI14" i="32"/>
  <c r="AB28" i="32"/>
  <c r="AJ28" i="32" s="1"/>
  <c r="AK28" i="32" s="1"/>
  <c r="AB6" i="32"/>
  <c r="AB22" i="32"/>
  <c r="AJ22" i="32" s="1"/>
  <c r="AK23" i="32" s="1"/>
  <c r="AI24" i="32"/>
  <c r="V29" i="32"/>
  <c r="AI7" i="32"/>
  <c r="AB21" i="32"/>
  <c r="AJ21" i="32" s="1"/>
  <c r="AK21" i="32" s="1"/>
  <c r="AI23" i="32"/>
  <c r="AB10" i="32"/>
  <c r="AJ10" i="32" s="1"/>
  <c r="AB26" i="32"/>
  <c r="X29" i="32"/>
  <c r="AB15" i="32"/>
  <c r="AJ15" i="32" s="1"/>
  <c r="AK15" i="32" s="1"/>
  <c r="AI17" i="32"/>
  <c r="Y29" i="32"/>
  <c r="AI6" i="32"/>
  <c r="AB20" i="32"/>
  <c r="AI22" i="32"/>
  <c r="AF29" i="32"/>
  <c r="AB9" i="32"/>
  <c r="AJ9" i="32" s="1"/>
  <c r="AK10" i="32" s="1"/>
  <c r="AK14" i="32"/>
  <c r="AB25" i="32"/>
  <c r="AI27" i="32"/>
  <c r="AB19" i="32"/>
  <c r="AJ19" i="32" s="1"/>
  <c r="AK20" i="32" s="1"/>
  <c r="AB8" i="32"/>
  <c r="AJ8" i="32" s="1"/>
  <c r="AK8" i="32" s="1"/>
  <c r="AD29" i="32"/>
  <c r="AI10" i="32"/>
  <c r="AI15" i="32"/>
  <c r="AK6" i="32"/>
  <c r="AI19" i="32"/>
  <c r="AI8" i="32"/>
  <c r="AK27" i="32"/>
  <c r="AH29" i="32"/>
  <c r="AI18" i="32"/>
  <c r="AI12" i="32"/>
  <c r="AI28" i="32"/>
  <c r="AI11" i="32"/>
  <c r="AI16" i="32"/>
  <c r="AI21" i="32"/>
  <c r="AK24" i="32"/>
  <c r="AK7" i="32"/>
  <c r="AG29" i="32"/>
  <c r="AK26" i="32"/>
  <c r="W29" i="32"/>
  <c r="Z29" i="32"/>
  <c r="AB5" i="32"/>
  <c r="AC29" i="32"/>
  <c r="AK5" i="32"/>
  <c r="AK26" i="21"/>
  <c r="AB23" i="21"/>
  <c r="AB19" i="21"/>
  <c r="AK20" i="21" s="1"/>
  <c r="AK27" i="21"/>
  <c r="AK25" i="21"/>
  <c r="AI19" i="21"/>
  <c r="AI18" i="21"/>
  <c r="AI13" i="21"/>
  <c r="AK14" i="21"/>
  <c r="AB14" i="21"/>
  <c r="AB11" i="21"/>
  <c r="AB28" i="21"/>
  <c r="AK28" i="21" s="1"/>
  <c r="AI23" i="21"/>
  <c r="AI14" i="21"/>
  <c r="AB15" i="21"/>
  <c r="AK15" i="21" s="1"/>
  <c r="AI25" i="21"/>
  <c r="AB24" i="21"/>
  <c r="AI20" i="21"/>
  <c r="AI11" i="21"/>
  <c r="AI16" i="21"/>
  <c r="AI26" i="21"/>
  <c r="AB25" i="21"/>
  <c r="AB20" i="21"/>
  <c r="AI21" i="21"/>
  <c r="AB16" i="21"/>
  <c r="AK17" i="21" s="1"/>
  <c r="AI24" i="21"/>
  <c r="AB26" i="21"/>
  <c r="AI12" i="21"/>
  <c r="AI8" i="21"/>
  <c r="AB21" i="21"/>
  <c r="AK21" i="21" s="1"/>
  <c r="AI17" i="21"/>
  <c r="AI15" i="21"/>
  <c r="AI27" i="21"/>
  <c r="AI28" i="21"/>
  <c r="AB27" i="21"/>
  <c r="AB12" i="21"/>
  <c r="AK13" i="21" s="1"/>
  <c r="AB8" i="21"/>
  <c r="AK24" i="21"/>
  <c r="AI22" i="21"/>
  <c r="AB17" i="21"/>
  <c r="AB22" i="21"/>
  <c r="AK23" i="21" s="1"/>
  <c r="AB18" i="21"/>
  <c r="AK18" i="21" s="1"/>
  <c r="AB9" i="21"/>
  <c r="AK10" i="33" l="1"/>
  <c r="AI12" i="33"/>
  <c r="AK11" i="33"/>
  <c r="AK11" i="32"/>
  <c r="AB12" i="33"/>
  <c r="AJ12" i="33"/>
  <c r="AK9" i="33"/>
  <c r="AK19" i="32"/>
  <c r="AK12" i="32"/>
  <c r="AK9" i="32"/>
  <c r="AI29" i="32"/>
  <c r="AK22" i="32"/>
  <c r="AB29" i="32"/>
  <c r="AK16" i="32"/>
  <c r="AJ29" i="32"/>
  <c r="AK10" i="21"/>
  <c r="AK12" i="21"/>
  <c r="AK9" i="21"/>
  <c r="AK11" i="21"/>
  <c r="AK19" i="21"/>
  <c r="AK22" i="21"/>
  <c r="AK16" i="21"/>
  <c r="AK12" i="33" l="1"/>
  <c r="AI13" i="33" s="1"/>
  <c r="AI15" i="33" s="1"/>
  <c r="AK29" i="32"/>
  <c r="AI30" i="32" s="1"/>
  <c r="AI32" i="32" s="1"/>
  <c r="AK5" i="21"/>
  <c r="W6" i="21"/>
  <c r="W7" i="21"/>
  <c r="W5" i="21"/>
  <c r="AI7" i="21" l="1"/>
  <c r="AI6" i="21"/>
  <c r="AB7" i="21"/>
  <c r="AK8" i="21" s="1"/>
  <c r="F5" i="18" l="1"/>
  <c r="F8" i="18"/>
  <c r="F3" i="18"/>
  <c r="B77" i="15"/>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39" i="18"/>
  <c r="C62" i="18"/>
  <c r="C63" i="18"/>
  <c r="C64" i="18"/>
  <c r="C65" i="18"/>
  <c r="C66" i="18"/>
  <c r="C61" i="18"/>
  <c r="D61" i="18" s="1"/>
  <c r="C56" i="18"/>
  <c r="D56" i="18" s="1"/>
  <c r="C57" i="18"/>
  <c r="D57" i="18" s="1"/>
  <c r="C58" i="18"/>
  <c r="D58" i="18" s="1"/>
  <c r="C59" i="18"/>
  <c r="D59" i="18" s="1"/>
  <c r="C60" i="18"/>
  <c r="D60" i="18" s="1"/>
  <c r="C55" i="18"/>
  <c r="D55" i="18" s="1"/>
  <c r="C52" i="18"/>
  <c r="D52" i="18" s="1"/>
  <c r="C53" i="18"/>
  <c r="D53" i="18" s="1"/>
  <c r="C54" i="18"/>
  <c r="D54" i="18" s="1"/>
  <c r="C51" i="18"/>
  <c r="D51" i="18" s="1"/>
  <c r="C48" i="18"/>
  <c r="D48" i="18" s="1"/>
  <c r="C49" i="18"/>
  <c r="D49" i="18" s="1"/>
  <c r="C50" i="18"/>
  <c r="D50" i="18" s="1"/>
  <c r="C47" i="18"/>
  <c r="D47" i="18" s="1"/>
  <c r="C44" i="18"/>
  <c r="D44" i="18" s="1"/>
  <c r="C45" i="18"/>
  <c r="D45" i="18" s="1"/>
  <c r="C46" i="18"/>
  <c r="C43" i="18"/>
  <c r="D43" i="18" s="1"/>
  <c r="C40" i="18"/>
  <c r="D40" i="18" s="1"/>
  <c r="C39" i="18"/>
  <c r="D39" i="18" s="1"/>
  <c r="D66" i="18"/>
  <c r="D65" i="18"/>
  <c r="D64" i="18"/>
  <c r="D63" i="18"/>
  <c r="D62" i="18"/>
  <c r="D46" i="18"/>
  <c r="C42" i="18"/>
  <c r="D42" i="18" s="1"/>
  <c r="C41" i="18"/>
  <c r="D41" i="18" s="1"/>
  <c r="C5" i="18"/>
  <c r="D5" i="18" s="1"/>
  <c r="F7" i="18" l="1"/>
  <c r="F6" i="18"/>
  <c r="C33" i="18" l="1"/>
  <c r="D33" i="18" s="1"/>
  <c r="C32" i="18"/>
  <c r="D32" i="18" s="1"/>
  <c r="C6" i="18"/>
  <c r="D6" i="18" s="1"/>
  <c r="C7" i="18"/>
  <c r="D7" i="18" s="1"/>
  <c r="F4" i="18"/>
  <c r="F28" i="18"/>
  <c r="F34" i="18"/>
  <c r="F20" i="18"/>
  <c r="B79" i="15" l="1"/>
  <c r="E14" i="15"/>
  <c r="F12" i="18"/>
  <c r="F13" i="18"/>
  <c r="AI5" i="21" s="1"/>
  <c r="F14" i="18"/>
  <c r="F15" i="18"/>
  <c r="F16" i="18"/>
  <c r="F17" i="18"/>
  <c r="F19" i="18"/>
  <c r="F10" i="18"/>
  <c r="F18" i="18"/>
  <c r="F9" i="18"/>
  <c r="F11" i="18"/>
  <c r="B74" i="15"/>
  <c r="B72" i="15"/>
  <c r="E9" i="15"/>
  <c r="E8" i="15"/>
  <c r="E5" i="15"/>
  <c r="E2" i="15"/>
  <c r="B75" i="15" l="1"/>
  <c r="B78" i="15"/>
  <c r="C3" i="15"/>
  <c r="C2" i="15"/>
  <c r="E7" i="15" l="1"/>
  <c r="E4" i="15"/>
  <c r="E3" i="15"/>
  <c r="E6" i="15"/>
  <c r="B54" i="15" l="1"/>
  <c r="B76" i="15" s="1"/>
  <c r="C20" i="15" l="1"/>
  <c r="D20" i="15" s="1"/>
  <c r="C27" i="15"/>
  <c r="D27" i="15" s="1"/>
  <c r="C45" i="15"/>
  <c r="D45" i="15" s="1"/>
  <c r="C44" i="15"/>
  <c r="D44" i="15" s="1"/>
  <c r="C33" i="15"/>
  <c r="D33" i="15" s="1"/>
  <c r="C32" i="15"/>
  <c r="D32" i="15" s="1"/>
  <c r="C31" i="15"/>
  <c r="D31" i="15" s="1"/>
  <c r="C34" i="18"/>
  <c r="C19" i="18"/>
  <c r="C43" i="15"/>
  <c r="D43" i="15" s="1"/>
  <c r="C13" i="18"/>
  <c r="D17" i="18"/>
  <c r="D15" i="18"/>
  <c r="D12" i="18"/>
  <c r="D10" i="18"/>
  <c r="AI29" i="21" l="1"/>
  <c r="AG29" i="21"/>
  <c r="AC29" i="21"/>
  <c r="AE29" i="21"/>
  <c r="D34" i="18" l="1"/>
  <c r="C18" i="18"/>
  <c r="C11" i="18"/>
  <c r="D16" i="18"/>
  <c r="C8" i="18"/>
  <c r="C9" i="18"/>
  <c r="C14" i="18"/>
  <c r="AK7" i="21" l="1"/>
  <c r="AK6" i="21"/>
  <c r="AK29" i="21" s="1"/>
  <c r="D9" i="18"/>
  <c r="D14" i="18"/>
  <c r="D11" i="18"/>
  <c r="D13" i="18"/>
  <c r="AB5" i="21" s="1"/>
  <c r="AB29" i="21" s="1"/>
  <c r="D19" i="18"/>
  <c r="D8" i="18"/>
  <c r="D18" i="18"/>
  <c r="C38" i="18" l="1"/>
  <c r="C29" i="18"/>
  <c r="D29" i="18" s="1"/>
  <c r="C31" i="18"/>
  <c r="D31" i="18" s="1"/>
  <c r="C30" i="18"/>
  <c r="D30" i="18" s="1"/>
  <c r="D38" i="18" l="1"/>
  <c r="C28" i="18" l="1"/>
  <c r="D28" i="18" s="1"/>
  <c r="C30" i="15" l="1"/>
  <c r="D30" i="15" s="1"/>
  <c r="C29" i="15"/>
  <c r="D29" i="15" s="1"/>
  <c r="C28" i="15"/>
  <c r="D28" i="15" s="1"/>
  <c r="C26" i="15"/>
  <c r="D26" i="15" s="1"/>
  <c r="C25" i="15"/>
  <c r="D25" i="15" s="1"/>
  <c r="D24" i="15"/>
  <c r="C4" i="18" l="1"/>
  <c r="C9" i="15"/>
  <c r="D9" i="15" s="1"/>
  <c r="C8" i="15"/>
  <c r="D8" i="15" s="1"/>
  <c r="C27" i="18"/>
  <c r="C21" i="15"/>
  <c r="C19" i="15"/>
  <c r="D19" i="15" s="1"/>
  <c r="C26" i="18"/>
  <c r="C25" i="18"/>
  <c r="C24" i="18"/>
  <c r="C3" i="18"/>
  <c r="C35" i="18"/>
  <c r="D35" i="18" s="1"/>
  <c r="C23" i="18"/>
  <c r="AA29" i="21" l="1"/>
  <c r="D27" i="18"/>
  <c r="D4" i="18"/>
  <c r="D3" i="18"/>
  <c r="D25" i="18"/>
  <c r="D23" i="18"/>
  <c r="D26" i="18"/>
  <c r="D24" i="18"/>
  <c r="D21" i="15" l="1"/>
  <c r="C18" i="15"/>
  <c r="D18" i="15" s="1"/>
  <c r="C22" i="18"/>
  <c r="D22" i="18" s="1"/>
  <c r="C21" i="18"/>
  <c r="C20" i="18"/>
  <c r="C17" i="15"/>
  <c r="D17" i="15" s="1"/>
  <c r="D21" i="18" l="1"/>
  <c r="D20" i="18"/>
  <c r="C16" i="15" l="1"/>
  <c r="D16" i="15" s="1"/>
  <c r="C37" i="15"/>
  <c r="D37" i="15" s="1"/>
  <c r="D13" i="15"/>
  <c r="Z29" i="21" l="1"/>
  <c r="C15" i="15"/>
  <c r="D15" i="15" s="1"/>
  <c r="C14" i="15"/>
  <c r="D14" i="15" s="1"/>
  <c r="C7" i="15"/>
  <c r="D7" i="15" s="1"/>
  <c r="C6" i="15"/>
  <c r="D6" i="15" s="1"/>
  <c r="C5" i="15"/>
  <c r="D5" i="15" s="1"/>
  <c r="C4" i="15"/>
  <c r="D4" i="15" s="1"/>
  <c r="D3" i="15"/>
  <c r="D2" i="15"/>
  <c r="C37" i="18"/>
  <c r="AF29" i="21" l="1"/>
  <c r="X29" i="21"/>
  <c r="W29" i="21"/>
  <c r="D37" i="18"/>
  <c r="Y29" i="21" l="1"/>
  <c r="AJ29" i="21" l="1"/>
  <c r="AI30" i="21" l="1"/>
  <c r="AI3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Carina Loretz</author>
  </authors>
  <commentList>
    <comment ref="G2" authorId="0" shapeId="0" xr:uid="{F2CDA724-3B59-4295-950D-D5E6D3907FCF}">
      <text>
        <r>
          <rPr>
            <sz val="9"/>
            <color indexed="81"/>
            <rFont val="Tahoma"/>
            <family val="2"/>
          </rPr>
          <t>Note: Red text indicates that robotic disassembly is not feasible under the predefined robotic parameters specified in the “Action time” sheet.</t>
        </r>
      </text>
    </comment>
    <comment ref="V2" authorId="0" shapeId="0" xr:uid="{944563A4-AF0C-4D65-B705-CB524F1EE7C6}">
      <text>
        <r>
          <rPr>
            <sz val="9"/>
            <color indexed="81"/>
            <rFont val="Tahoma"/>
            <family val="2"/>
          </rPr>
          <t xml:space="preserve">Output: Manual Disassembly Time (Mt) for each disassembly step in seconds (s) break-down into single tasks and summed up.
</t>
        </r>
      </text>
    </comment>
    <comment ref="AC2" authorId="0" shapeId="0" xr:uid="{533C1D8E-3834-4997-A500-5083481DBD05}">
      <text>
        <r>
          <rPr>
            <sz val="9"/>
            <color indexed="81"/>
            <rFont val="Tahoma"/>
            <family val="2"/>
          </rPr>
          <t>Output: Robotic Disassembly Time (Rt) for each disassembly step in seconds (s) break-down into single tasks and summed up.</t>
        </r>
      </text>
    </comment>
    <comment ref="A3" authorId="0" shapeId="0" xr:uid="{D92B1B3E-6009-4403-B8CA-06D004DCDB98}">
      <text>
        <r>
          <rPr>
            <sz val="9"/>
            <color indexed="81"/>
            <rFont val="Tahoma"/>
            <family val="2"/>
          </rPr>
          <t xml:space="preserve">ID for one connector (type)  that can be dissasembled in one disassembly step.
</t>
        </r>
      </text>
    </comment>
    <comment ref="B3" authorId="0" shapeId="0" xr:uid="{19B44874-1F2F-4E9D-9B26-01E93D93AEF2}">
      <text>
        <r>
          <rPr>
            <sz val="9"/>
            <color indexed="81"/>
            <rFont val="Tahoma"/>
            <family val="2"/>
          </rPr>
          <t xml:space="preserve">Connectors ID(s) of precedent connectors that need to be disassembled before the disassembly step described in the current row.
</t>
        </r>
      </text>
    </comment>
    <comment ref="C3" authorId="0" shapeId="0" xr:uid="{4F81FFC0-16B6-4FDF-81BF-6446040B4F4A}">
      <text>
        <r>
          <rPr>
            <sz val="9"/>
            <color indexed="81"/>
            <rFont val="Tahoma"/>
            <family val="2"/>
          </rPr>
          <t>Name of the component that it to be disasesmbled.</t>
        </r>
      </text>
    </comment>
    <comment ref="D3" authorId="0" shapeId="0" xr:uid="{A7866266-8F82-4CD9-9C94-D20A7C67603E}">
      <text>
        <r>
          <rPr>
            <sz val="9"/>
            <color indexed="81"/>
            <rFont val="Tahoma"/>
            <family val="2"/>
          </rPr>
          <t xml:space="preserve">Name of the connector that is to be disassembled. If no connector is in place, write "No connector".
</t>
        </r>
      </text>
    </comment>
    <comment ref="E3" authorId="0" shapeId="0" xr:uid="{2269C208-DD3F-4BF8-BF99-71320BA58291}">
      <text>
        <r>
          <rPr>
            <sz val="9"/>
            <color indexed="81"/>
            <rFont val="Tahoma"/>
            <family val="2"/>
          </rPr>
          <t xml:space="preserve">Select the corresponding connector type from the drop-down. If not available, further connector types can be added to the list in "Connectors List" sheet.
</t>
        </r>
      </text>
    </comment>
    <comment ref="F3" authorId="0" shapeId="0" xr:uid="{803174CF-0BC3-462B-A6BF-037C736220D9}">
      <text>
        <r>
          <rPr>
            <sz val="9"/>
            <color indexed="81"/>
            <rFont val="Tahoma"/>
            <family val="2"/>
          </rPr>
          <t xml:space="preserve">Number of  disassembled connectors in one disassembly step.
</t>
        </r>
      </text>
    </comment>
    <comment ref="G3" authorId="0" shapeId="0" xr:uid="{20C2F1E8-6697-46D8-B920-3543C5CEBB56}">
      <text>
        <r>
          <rPr>
            <sz val="9"/>
            <color indexed="81"/>
            <rFont val="Tahoma"/>
            <family val="2"/>
          </rPr>
          <t>Is the location of the components &amp; connectors fixed for clear localisation with the robotic vision system?</t>
        </r>
      </text>
    </comment>
    <comment ref="H3" authorId="0" shapeId="0" xr:uid="{8DCB4BC1-255A-4535-9CED-01FDB34F803A}">
      <text>
        <r>
          <rPr>
            <sz val="9"/>
            <color indexed="81"/>
            <rFont val="Tahoma"/>
            <family val="2"/>
          </rPr>
          <t xml:space="preserve">Mass in g of the disassembled component. If no component is moved in the described disassembly step, write N/A.
</t>
        </r>
        <r>
          <rPr>
            <b/>
            <sz val="9"/>
            <color indexed="81"/>
            <rFont val="Tahoma"/>
            <family val="2"/>
          </rPr>
          <t xml:space="preserve">
Note: Adapt the maximum graspable component mass in the table "Robotic Disassembly Task Parameters" in the Action Time sheet according to your robotic cell.</t>
        </r>
        <r>
          <rPr>
            <sz val="9"/>
            <color indexed="81"/>
            <rFont val="Tahoma"/>
            <family val="2"/>
          </rPr>
          <t xml:space="preserve">
</t>
        </r>
      </text>
    </comment>
    <comment ref="I3" authorId="0" shapeId="0" xr:uid="{7F1A13FA-3939-4920-A2FD-F0AA952ED48D}">
      <text>
        <r>
          <rPr>
            <sz val="9"/>
            <color indexed="81"/>
            <rFont val="Tahoma"/>
            <family val="2"/>
          </rPr>
          <t xml:space="preserve">Length of the component's side, that is most likely to be grasped by the robotic parallel finger gripper.
</t>
        </r>
        <r>
          <rPr>
            <b/>
            <sz val="9"/>
            <color indexed="81"/>
            <rFont val="Tahoma"/>
            <family val="2"/>
          </rPr>
          <t xml:space="preserve">
Note: Adapt the maximum component grasp side length in the table "Robotic Disassembly Task Parameters" in the Action Time sheet according to your robotic cell.</t>
        </r>
        <r>
          <rPr>
            <sz val="9"/>
            <color indexed="81"/>
            <rFont val="Tahoma"/>
            <family val="2"/>
          </rPr>
          <t xml:space="preserve">
</t>
        </r>
      </text>
    </comment>
    <comment ref="M3" authorId="0" shapeId="0" xr:uid="{8C792AAE-12F8-4B6A-84A4-53C75755650D}">
      <text>
        <r>
          <rPr>
            <sz val="9"/>
            <color indexed="81"/>
            <rFont val="Tahoma"/>
            <family val="2"/>
          </rPr>
          <t>Is the robotic parallel two finger gripper sufficient to perform the task or is a more specialized gripping tool required? N/A in case parallel finger is not required.</t>
        </r>
      </text>
    </comment>
    <comment ref="N3" authorId="0" shapeId="0" xr:uid="{4FB7C03A-213E-4776-91CE-A7FF2225F74D}">
      <text>
        <r>
          <rPr>
            <sz val="9"/>
            <color indexed="81"/>
            <rFont val="Tahoma"/>
            <family val="2"/>
          </rPr>
          <t xml:space="preserve">Indicate whether robotic disassembly is feasible. If the text in any cells in columns G–M appears red, robotic disassembly is not feasible → select "No"; otherwise, select "Yes".
</t>
        </r>
      </text>
    </comment>
    <comment ref="O3" authorId="0" shapeId="0" xr:uid="{6A74614F-0679-47C7-B83E-68C92457FC49}">
      <text>
        <r>
          <rPr>
            <sz val="9"/>
            <color indexed="81"/>
            <rFont val="Tahoma"/>
            <family val="2"/>
          </rPr>
          <t xml:space="preserve">Is/are the connector(s)  visible to perform the disassembly?
</t>
        </r>
      </text>
    </comment>
    <comment ref="P3" authorId="0" shapeId="0" xr:uid="{D1121AAD-B805-48AC-AC4C-35DB32063768}">
      <text>
        <r>
          <rPr>
            <sz val="9"/>
            <color indexed="81"/>
            <rFont val="Tahoma"/>
            <family val="2"/>
          </rPr>
          <t xml:space="preserve">Need the  connector(s) be removed or not?
</t>
        </r>
      </text>
    </comment>
    <comment ref="S3" authorId="0" shapeId="0" xr:uid="{1021C317-A0D1-4B14-9E27-B5A03DBCF2E3}">
      <text>
        <r>
          <rPr>
            <sz val="9"/>
            <color indexed="81"/>
            <rFont val="Tahoma"/>
            <family val="2"/>
          </rPr>
          <t xml:space="preserve">Describe the required positioning type of the required tooling; If the connector distance is &gt; 5cm for at least one connector, then indicate &gt;5cm for the descirbed disassebly step.
</t>
        </r>
      </text>
    </comment>
    <comment ref="T3" authorId="0" shapeId="0" xr:uid="{E94B3F35-F704-41CC-896F-2E7BF69D39E9}">
      <text>
        <r>
          <rPr>
            <sz val="9"/>
            <color indexed="81"/>
            <rFont val="Tahoma"/>
            <family val="2"/>
          </rPr>
          <t xml:space="preserve">Describe the manipulation type required for the corresponding  disassembly step.
</t>
        </r>
      </text>
    </comment>
    <comment ref="U3" authorId="0" shapeId="0" xr:uid="{64D7F393-0C96-4BBD-ADA9-CCF057FDFCAE}">
      <text>
        <r>
          <rPr>
            <sz val="9"/>
            <color indexed="81"/>
            <rFont val="Tahoma"/>
            <family val="2"/>
          </rPr>
          <t>Describe the required removal type for the component removal?</t>
        </r>
        <r>
          <rPr>
            <sz val="9"/>
            <color indexed="81"/>
            <rFont val="Tahoma"/>
            <charset val="1"/>
          </rPr>
          <t xml:space="preserve">
</t>
        </r>
      </text>
    </comment>
    <comment ref="AJ3" authorId="0" shapeId="0" xr:uid="{83862030-8E03-4ED6-9CAB-73C448F4D836}">
      <text>
        <r>
          <rPr>
            <sz val="9"/>
            <color indexed="81"/>
            <rFont val="Tahoma"/>
            <family val="2"/>
          </rPr>
          <t>Output: Human Working Time (Ht) shows Mt in case robotic disassembly is not feasible.</t>
        </r>
        <r>
          <rPr>
            <sz val="9"/>
            <color indexed="81"/>
            <rFont val="Tahoma"/>
            <charset val="1"/>
          </rPr>
          <t xml:space="preserve">
</t>
        </r>
      </text>
    </comment>
    <comment ref="AK3" authorId="0" shapeId="0" xr:uid="{614E7B71-80D3-4B68-9167-424B39D4B5B8}">
      <text>
        <r>
          <rPr>
            <sz val="9"/>
            <color indexed="81"/>
            <rFont val="Tahoma"/>
            <family val="2"/>
          </rPr>
          <t>Output: Task Changeover time (Ct) shows the required time in case of changeover between manual and robotic disassembly.</t>
        </r>
        <r>
          <rPr>
            <b/>
            <sz val="9"/>
            <color indexed="81"/>
            <rFont val="Tahoma"/>
            <charset val="1"/>
          </rPr>
          <t xml:space="preserve">
Note: If a single row is deleted, the formulas must be filled down again!</t>
        </r>
      </text>
    </comment>
    <comment ref="J4" authorId="0" shapeId="0" xr:uid="{FB677ADC-B6D2-4912-A269-0A9135876E9A}">
      <text>
        <r>
          <rPr>
            <sz val="9"/>
            <color indexed="81"/>
            <rFont val="Tahoma"/>
            <family val="2"/>
          </rPr>
          <t>What is the minimum distance from the connector X axis to the nearest object (axis choice is not important)?
FA: Full Access</t>
        </r>
      </text>
    </comment>
    <comment ref="K4" authorId="0" shapeId="0" xr:uid="{CA25B762-876C-442E-88A1-6C480EAF7AC5}">
      <text>
        <r>
          <rPr>
            <sz val="9"/>
            <color indexed="81"/>
            <rFont val="Tahoma"/>
            <family val="2"/>
          </rPr>
          <t xml:space="preserve">What is the minimum distance from the connector Y axis to the nearest object (axis choice is not important).
FA: Full Access
</t>
        </r>
      </text>
    </comment>
    <comment ref="L4" authorId="0" shapeId="0" xr:uid="{CB1C9ED7-8D3E-42F4-8CC6-9970C141D77E}">
      <text>
        <r>
          <rPr>
            <sz val="9"/>
            <color indexed="81"/>
            <rFont val="Tahoma"/>
            <family val="2"/>
          </rPr>
          <t xml:space="preserve">What is the maximum distance from the connector Z-axis to the nearest object or how deep the connector from the surface (axis choice is important).
FA: Full Access
</t>
        </r>
      </text>
    </comment>
    <comment ref="Q4" authorId="0" shapeId="0" xr:uid="{9203EF7A-63CA-461A-A4EB-4F5CACCDA197}">
      <text>
        <r>
          <rPr>
            <sz val="9"/>
            <color indexed="81"/>
            <rFont val="Tahoma"/>
            <family val="2"/>
          </rPr>
          <t xml:space="preserve">Is a tool change required for the described disassembly step during manual operation? Select the option that best applies:
</t>
        </r>
        <r>
          <rPr>
            <b/>
            <sz val="9"/>
            <color indexed="81"/>
            <rFont val="Tahoma"/>
            <family val="2"/>
          </rPr>
          <t xml:space="preserve">
Tool - Fetch and Put back</t>
        </r>
        <r>
          <rPr>
            <sz val="9"/>
            <color indexed="81"/>
            <rFont val="Tahoma"/>
            <family val="2"/>
          </rPr>
          <t xml:space="preserve">: A tool is required and must be fetched before the step and returned afterward.
</t>
        </r>
        <r>
          <rPr>
            <b/>
            <sz val="9"/>
            <color indexed="81"/>
            <rFont val="Tahoma"/>
            <family val="2"/>
          </rPr>
          <t>Tool - Fetch</t>
        </r>
        <r>
          <rPr>
            <sz val="9"/>
            <color indexed="81"/>
            <rFont val="Tahoma"/>
            <family val="2"/>
          </rPr>
          <t xml:space="preserve">: A tool is required and must be fetched, but it is kept for use in the next step.
</t>
        </r>
        <r>
          <rPr>
            <b/>
            <sz val="9"/>
            <color indexed="81"/>
            <rFont val="Tahoma"/>
            <family val="2"/>
          </rPr>
          <t>Tool - Put back</t>
        </r>
        <r>
          <rPr>
            <sz val="9"/>
            <color indexed="81"/>
            <rFont val="Tahoma"/>
            <family val="2"/>
          </rPr>
          <t xml:space="preserve">: A tool is already in use from the previous step and must be returned after this step.
</t>
        </r>
        <r>
          <rPr>
            <b/>
            <sz val="9"/>
            <color indexed="81"/>
            <rFont val="Tahoma"/>
            <family val="2"/>
          </rPr>
          <t>No Tool</t>
        </r>
        <r>
          <rPr>
            <sz val="9"/>
            <color indexed="81"/>
            <rFont val="Tahoma"/>
            <family val="2"/>
          </rPr>
          <t>: No tool is required, or the required tool is already in place and does not need to be fetched or returned for this step.</t>
        </r>
      </text>
    </comment>
    <comment ref="R4" authorId="0" shapeId="0" xr:uid="{49661375-72EB-4545-9DB4-FAE216B0D51C}">
      <text>
        <r>
          <rPr>
            <sz val="9"/>
            <color indexed="81"/>
            <rFont val="Tahoma"/>
            <family val="2"/>
          </rPr>
          <t xml:space="preserve">Is a tool change required for the described disassembly step during robotic operation? Select the option that best applies:
</t>
        </r>
        <r>
          <rPr>
            <b/>
            <sz val="9"/>
            <color indexed="81"/>
            <rFont val="Tahoma"/>
            <family val="2"/>
          </rPr>
          <t>No Tool Change</t>
        </r>
        <r>
          <rPr>
            <sz val="9"/>
            <color indexed="81"/>
            <rFont val="Tahoma"/>
            <family val="2"/>
          </rPr>
          <t xml:space="preserve">: The same tool from the previous step is used.
</t>
        </r>
        <r>
          <rPr>
            <b/>
            <sz val="9"/>
            <color indexed="81"/>
            <rFont val="Tahoma"/>
            <family val="2"/>
          </rPr>
          <t>Tool Change</t>
        </r>
        <r>
          <rPr>
            <sz val="9"/>
            <color indexed="81"/>
            <rFont val="Tahoma"/>
            <family val="2"/>
          </rPr>
          <t xml:space="preserve">: A different tool is required, and the robot must perform one tool change during this step.
</t>
        </r>
        <r>
          <rPr>
            <b/>
            <sz val="9"/>
            <color indexed="81"/>
            <rFont val="Tahoma"/>
            <family val="2"/>
          </rPr>
          <t xml:space="preserve">
Two Tool Changes</t>
        </r>
        <r>
          <rPr>
            <sz val="9"/>
            <color indexed="81"/>
            <rFont val="Tahoma"/>
            <family val="2"/>
          </rPr>
          <t>: Two different tools are required, and the robot must perform two tool changes during this step.</t>
        </r>
      </text>
    </comment>
    <comment ref="AC30" authorId="0" shapeId="0" xr:uid="{B94B651C-6295-43F0-BE6D-9DD2AF15382C}">
      <text>
        <r>
          <rPr>
            <sz val="9"/>
            <color indexed="81"/>
            <rFont val="Tahoma"/>
            <family val="2"/>
          </rPr>
          <t>Output: Human-Robot Cooperative disassembly time represents the total disassembly time when all tasks that are feasible for the robot are performed by the robot and are complemented by manual actions for tasks where robotic disassembly is not feasible. 
Note: Accounting for lower costs for robotic handling compared to human labour, robotic disassembly times are divided by a cost factor (n).</t>
        </r>
      </text>
    </comment>
    <comment ref="AC32" authorId="0" shapeId="0" xr:uid="{E37043A8-59E8-4DB4-87DE-D7383C57BF8E}">
      <text>
        <r>
          <rPr>
            <sz val="9"/>
            <color indexed="81"/>
            <rFont val="Tahoma"/>
            <family val="2"/>
          </rPr>
          <t xml:space="preserve">Output: Robotic Ease of Disassembly Metric time (ReDiM time) represents the minimum achievable total disassembly time  comparing the Human-Robot Cooperative time and the Manual Disassembly Time. </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Carina Loretz</author>
  </authors>
  <commentList>
    <comment ref="G2" authorId="0" shapeId="0" xr:uid="{70939634-752D-461C-8C80-31978B238C7E}">
      <text>
        <r>
          <rPr>
            <sz val="9"/>
            <color indexed="81"/>
            <rFont val="Tahoma"/>
            <family val="2"/>
          </rPr>
          <t>Note: Red text indicates that robotic disassembly is not feasible under the predefined robotic parameters specified in the “Action time” sheet.</t>
        </r>
      </text>
    </comment>
    <comment ref="V2" authorId="0" shapeId="0" xr:uid="{C5F833B2-47D6-4C4E-BE1C-771768E0C5B3}">
      <text>
        <r>
          <rPr>
            <sz val="9"/>
            <color indexed="81"/>
            <rFont val="Tahoma"/>
            <family val="2"/>
          </rPr>
          <t xml:space="preserve">Output: Manual Disassembly Time (Mt) for each disassembly step in seconds (s) break-down into single tasks and summed up.
</t>
        </r>
      </text>
    </comment>
    <comment ref="AC2" authorId="0" shapeId="0" xr:uid="{E1628B84-4D3A-4BE0-9234-42E1659D45CA}">
      <text>
        <r>
          <rPr>
            <sz val="9"/>
            <color indexed="81"/>
            <rFont val="Tahoma"/>
            <family val="2"/>
          </rPr>
          <t>Output: Robotic Disassembly Time (Rt) for each disassembly step in seconds (s) break-down into single tasks and summed up.</t>
        </r>
      </text>
    </comment>
    <comment ref="A3" authorId="0" shapeId="0" xr:uid="{BF83605C-257F-4B07-91DB-5F9EBFCF250B}">
      <text>
        <r>
          <rPr>
            <sz val="9"/>
            <color indexed="81"/>
            <rFont val="Tahoma"/>
            <family val="2"/>
          </rPr>
          <t xml:space="preserve">ID for one connector (type)  that can be dissasembled in one disassembly step.
</t>
        </r>
      </text>
    </comment>
    <comment ref="B3" authorId="0" shapeId="0" xr:uid="{C8856423-474C-4DB3-81BD-5AC658895A8E}">
      <text>
        <r>
          <rPr>
            <sz val="9"/>
            <color indexed="81"/>
            <rFont val="Tahoma"/>
            <family val="2"/>
          </rPr>
          <t xml:space="preserve">Connectors ID(s) of precedent connectors that need to be disassembled before the disassembly step described in the current row.
</t>
        </r>
      </text>
    </comment>
    <comment ref="C3" authorId="0" shapeId="0" xr:uid="{C0F25A16-58DE-435A-85CB-6C1FAA4E6691}">
      <text>
        <r>
          <rPr>
            <sz val="9"/>
            <color indexed="81"/>
            <rFont val="Tahoma"/>
            <family val="2"/>
          </rPr>
          <t>Name of the component that it to be disasesmbled.</t>
        </r>
      </text>
    </comment>
    <comment ref="D3" authorId="0" shapeId="0" xr:uid="{8A1542DA-DBED-4836-8091-A0B3F52C516F}">
      <text>
        <r>
          <rPr>
            <sz val="9"/>
            <color indexed="81"/>
            <rFont val="Tahoma"/>
            <family val="2"/>
          </rPr>
          <t xml:space="preserve">Name of the connector that is to be disassembled. If no connector is in place, write "No connector".
</t>
        </r>
      </text>
    </comment>
    <comment ref="E3" authorId="0" shapeId="0" xr:uid="{6BBAC7B6-9713-454C-AB25-5E02B8C24D93}">
      <text>
        <r>
          <rPr>
            <sz val="9"/>
            <color indexed="81"/>
            <rFont val="Tahoma"/>
            <family val="2"/>
          </rPr>
          <t xml:space="preserve">Select the corresponding connector type from the drop-down. If not available, further connector types can be added to the list in "Connectors List" sheet.
</t>
        </r>
      </text>
    </comment>
    <comment ref="F3" authorId="0" shapeId="0" xr:uid="{F169A6C0-8B8B-42F3-8CCF-B427808C5DF8}">
      <text>
        <r>
          <rPr>
            <sz val="9"/>
            <color indexed="81"/>
            <rFont val="Tahoma"/>
            <family val="2"/>
          </rPr>
          <t xml:space="preserve">Number of  disassembled connectors in one disassembly step.
</t>
        </r>
      </text>
    </comment>
    <comment ref="G3" authorId="0" shapeId="0" xr:uid="{5AA4B693-1B9B-41F8-844F-E2335204969C}">
      <text>
        <r>
          <rPr>
            <sz val="9"/>
            <color indexed="81"/>
            <rFont val="Tahoma"/>
            <family val="2"/>
          </rPr>
          <t>Is the location of the components &amp; connectors fixed for clear localisation with the robotic vision system?</t>
        </r>
      </text>
    </comment>
    <comment ref="H3" authorId="0" shapeId="0" xr:uid="{8F69C63C-611B-4503-99AA-A274B28A89EA}">
      <text>
        <r>
          <rPr>
            <sz val="9"/>
            <color indexed="81"/>
            <rFont val="Tahoma"/>
            <family val="2"/>
          </rPr>
          <t xml:space="preserve">Mass in g of the disassembled component. If no component is moved in the described disassembly step, write N/A.
</t>
        </r>
        <r>
          <rPr>
            <b/>
            <sz val="9"/>
            <color indexed="81"/>
            <rFont val="Tahoma"/>
            <family val="2"/>
          </rPr>
          <t xml:space="preserve">
Note: Adapt the maximum graspable component mass in the table "Robotic Disassembly Task Parameters" in the Action Time sheet according to your robotic cell.</t>
        </r>
        <r>
          <rPr>
            <sz val="9"/>
            <color indexed="81"/>
            <rFont val="Tahoma"/>
            <family val="2"/>
          </rPr>
          <t xml:space="preserve">
</t>
        </r>
      </text>
    </comment>
    <comment ref="I3" authorId="0" shapeId="0" xr:uid="{A1FA989B-5A34-4A80-A26A-CCE31C1EBC40}">
      <text>
        <r>
          <rPr>
            <sz val="9"/>
            <color indexed="81"/>
            <rFont val="Tahoma"/>
            <family val="2"/>
          </rPr>
          <t xml:space="preserve">Length of the component's side, that is most likely to be grasped by the robotic parallel finger gripper.
</t>
        </r>
        <r>
          <rPr>
            <b/>
            <sz val="9"/>
            <color indexed="81"/>
            <rFont val="Tahoma"/>
            <family val="2"/>
          </rPr>
          <t xml:space="preserve">
Note: Adapt the maximum component grasp side length in the table "Robotic Disassembly Task Parameters" in the Action Time sheet according to your robotic cell.</t>
        </r>
        <r>
          <rPr>
            <sz val="9"/>
            <color indexed="81"/>
            <rFont val="Tahoma"/>
            <family val="2"/>
          </rPr>
          <t xml:space="preserve">
</t>
        </r>
      </text>
    </comment>
    <comment ref="M3" authorId="0" shapeId="0" xr:uid="{A4EFFEB1-D341-44C6-BA96-975DA3732110}">
      <text>
        <r>
          <rPr>
            <sz val="9"/>
            <color indexed="81"/>
            <rFont val="Tahoma"/>
            <family val="2"/>
          </rPr>
          <t>Is the robotic parallel two finger gripper sufficient to perform the task or is a more specialized gripping tool required? N/A in case parallel finger is not required.</t>
        </r>
      </text>
    </comment>
    <comment ref="N3" authorId="0" shapeId="0" xr:uid="{CE254787-E295-42D4-90B1-E68A623A7F91}">
      <text>
        <r>
          <rPr>
            <sz val="9"/>
            <color indexed="81"/>
            <rFont val="Tahoma"/>
            <family val="2"/>
          </rPr>
          <t xml:space="preserve">Indicate whether robotic disassembly is feasible. If the text in any cells in columns G–M appears red, robotic disassembly is not feasible → select "No"; otherwise, select "Yes".
</t>
        </r>
      </text>
    </comment>
    <comment ref="O3" authorId="0" shapeId="0" xr:uid="{022529F8-CD87-4E57-ABFB-FAF9D4F239D8}">
      <text>
        <r>
          <rPr>
            <sz val="9"/>
            <color indexed="81"/>
            <rFont val="Tahoma"/>
            <family val="2"/>
          </rPr>
          <t xml:space="preserve">Is/are the connector(s)  visible to perform the disassembly?
</t>
        </r>
      </text>
    </comment>
    <comment ref="P3" authorId="0" shapeId="0" xr:uid="{B2B83C5D-6D51-46EC-AF21-DEE541F1E95B}">
      <text>
        <r>
          <rPr>
            <sz val="9"/>
            <color indexed="81"/>
            <rFont val="Tahoma"/>
            <family val="2"/>
          </rPr>
          <t xml:space="preserve">Need the  connector(s) be removed or not?
</t>
        </r>
      </text>
    </comment>
    <comment ref="S3" authorId="0" shapeId="0" xr:uid="{0BACD5B7-EA6B-4DBA-88FE-949338FF8CA5}">
      <text>
        <r>
          <rPr>
            <sz val="9"/>
            <color indexed="81"/>
            <rFont val="Tahoma"/>
            <family val="2"/>
          </rPr>
          <t xml:space="preserve">Describe the required positioning type of the required tooling; If the connector distance is &gt; 5cm for at least one connector, then indicate &gt;5cm for the descirbed disassebly step.
</t>
        </r>
      </text>
    </comment>
    <comment ref="T3" authorId="0" shapeId="0" xr:uid="{4AD6F195-15D2-44E3-9CD7-2AC67B58E10C}">
      <text>
        <r>
          <rPr>
            <sz val="9"/>
            <color indexed="81"/>
            <rFont val="Tahoma"/>
            <family val="2"/>
          </rPr>
          <t xml:space="preserve">Describe the manipulation type required for the corresponding  disassembly step.
</t>
        </r>
      </text>
    </comment>
    <comment ref="U3" authorId="0" shapeId="0" xr:uid="{3BDEB2A0-1275-483C-AE52-FE6B7B3F485C}">
      <text>
        <r>
          <rPr>
            <sz val="9"/>
            <color indexed="81"/>
            <rFont val="Tahoma"/>
            <family val="2"/>
          </rPr>
          <t>Describe the required removal type for the component removal?</t>
        </r>
        <r>
          <rPr>
            <sz val="9"/>
            <color indexed="81"/>
            <rFont val="Tahoma"/>
            <charset val="1"/>
          </rPr>
          <t xml:space="preserve">
</t>
        </r>
      </text>
    </comment>
    <comment ref="AJ3" authorId="0" shapeId="0" xr:uid="{88CCE098-7DBB-47D9-81CF-31EE650EB9B2}">
      <text>
        <r>
          <rPr>
            <sz val="9"/>
            <color indexed="81"/>
            <rFont val="Tahoma"/>
            <family val="2"/>
          </rPr>
          <t>Output: Human Working Time (Ht) shows Mt in case robotic disassembly is not feasible.</t>
        </r>
        <r>
          <rPr>
            <sz val="9"/>
            <color indexed="81"/>
            <rFont val="Tahoma"/>
            <charset val="1"/>
          </rPr>
          <t xml:space="preserve">
</t>
        </r>
      </text>
    </comment>
    <comment ref="AK3" authorId="0" shapeId="0" xr:uid="{D5B04392-A0BF-4E13-8EA3-C82739F55592}">
      <text>
        <r>
          <rPr>
            <sz val="9"/>
            <color indexed="81"/>
            <rFont val="Tahoma"/>
            <family val="2"/>
          </rPr>
          <t>Output: Task Changeover time (Ct) shows the required time in case of changeover between manual and robotic disassembly.</t>
        </r>
        <r>
          <rPr>
            <b/>
            <sz val="9"/>
            <color indexed="81"/>
            <rFont val="Tahoma"/>
            <charset val="1"/>
          </rPr>
          <t xml:space="preserve">
Note: If a single row is deleted, the formulas must be filled down again!</t>
        </r>
      </text>
    </comment>
    <comment ref="J4" authorId="0" shapeId="0" xr:uid="{113D90E8-7268-4EE5-B64A-07AB588804A7}">
      <text>
        <r>
          <rPr>
            <sz val="9"/>
            <color indexed="81"/>
            <rFont val="Tahoma"/>
            <family val="2"/>
          </rPr>
          <t>What is the minimum distance from the connector X axis to the nearest object (axis choice is not important)?
FA: Full Access</t>
        </r>
      </text>
    </comment>
    <comment ref="K4" authorId="0" shapeId="0" xr:uid="{65007302-AA84-4FF8-B46F-90009EE920A7}">
      <text>
        <r>
          <rPr>
            <sz val="9"/>
            <color indexed="81"/>
            <rFont val="Tahoma"/>
            <family val="2"/>
          </rPr>
          <t xml:space="preserve">What is the minimum distance from the connector Y axis to the nearest object (axis choice is not important).
FA: Full Access
</t>
        </r>
      </text>
    </comment>
    <comment ref="L4" authorId="0" shapeId="0" xr:uid="{54E21022-8F4D-41C3-8B39-2838E5A22E39}">
      <text>
        <r>
          <rPr>
            <sz val="9"/>
            <color indexed="81"/>
            <rFont val="Tahoma"/>
            <family val="2"/>
          </rPr>
          <t xml:space="preserve">What is the maximum distance from the connector Z-axis to the nearest object or how deep the connector from the surface (axis choice is important).
FA: Full Access
</t>
        </r>
      </text>
    </comment>
    <comment ref="Q4" authorId="0" shapeId="0" xr:uid="{FAADB753-7951-4E4E-AEA0-17047734F591}">
      <text>
        <r>
          <rPr>
            <sz val="9"/>
            <color indexed="81"/>
            <rFont val="Tahoma"/>
            <family val="2"/>
          </rPr>
          <t xml:space="preserve">Is a tool change required for the described disassembly step during manual operation? Select the option that best applies:
</t>
        </r>
        <r>
          <rPr>
            <b/>
            <sz val="9"/>
            <color indexed="81"/>
            <rFont val="Tahoma"/>
            <family val="2"/>
          </rPr>
          <t>Tool - Fetch and Put back:</t>
        </r>
        <r>
          <rPr>
            <sz val="9"/>
            <color indexed="81"/>
            <rFont val="Tahoma"/>
            <family val="2"/>
          </rPr>
          <t xml:space="preserve"> A tool is required and must be fetched before the step and returned afterward.
</t>
        </r>
        <r>
          <rPr>
            <b/>
            <sz val="9"/>
            <color indexed="81"/>
            <rFont val="Tahoma"/>
            <family val="2"/>
          </rPr>
          <t>Tool - Fetch:</t>
        </r>
        <r>
          <rPr>
            <sz val="9"/>
            <color indexed="81"/>
            <rFont val="Tahoma"/>
            <family val="2"/>
          </rPr>
          <t xml:space="preserve"> A tool is required and must be fetched, but it is kept for use in the next step.
</t>
        </r>
        <r>
          <rPr>
            <b/>
            <sz val="9"/>
            <color indexed="81"/>
            <rFont val="Tahoma"/>
            <family val="2"/>
          </rPr>
          <t>Tool - Put back:</t>
        </r>
        <r>
          <rPr>
            <sz val="9"/>
            <color indexed="81"/>
            <rFont val="Tahoma"/>
            <family val="2"/>
          </rPr>
          <t xml:space="preserve"> A tool is already in use from the previous step and must be returned after this step.
</t>
        </r>
        <r>
          <rPr>
            <b/>
            <sz val="9"/>
            <color indexed="81"/>
            <rFont val="Tahoma"/>
            <family val="2"/>
          </rPr>
          <t>No Tool:</t>
        </r>
        <r>
          <rPr>
            <sz val="9"/>
            <color indexed="81"/>
            <rFont val="Tahoma"/>
            <family val="2"/>
          </rPr>
          <t xml:space="preserve"> No tool is required, or the required tool is already in place and does not need to be fetched or returned for this step.</t>
        </r>
      </text>
    </comment>
    <comment ref="R4" authorId="0" shapeId="0" xr:uid="{2FB01844-9E70-4801-ACE8-8FEE12391B7D}">
      <text>
        <r>
          <rPr>
            <sz val="9"/>
            <color indexed="81"/>
            <rFont val="Tahoma"/>
            <family val="2"/>
          </rPr>
          <t xml:space="preserve">Is a tool change required for the described disassembly step during robotic operation? Select the option that best applies:
</t>
        </r>
        <r>
          <rPr>
            <b/>
            <sz val="9"/>
            <color indexed="81"/>
            <rFont val="Tahoma"/>
            <family val="2"/>
          </rPr>
          <t>No Tool Change:</t>
        </r>
        <r>
          <rPr>
            <sz val="9"/>
            <color indexed="81"/>
            <rFont val="Tahoma"/>
            <family val="2"/>
          </rPr>
          <t xml:space="preserve"> The same tool from the previous step is used.
</t>
        </r>
        <r>
          <rPr>
            <b/>
            <sz val="9"/>
            <color indexed="81"/>
            <rFont val="Tahoma"/>
            <family val="2"/>
          </rPr>
          <t xml:space="preserve">
Tool Change: </t>
        </r>
        <r>
          <rPr>
            <sz val="9"/>
            <color indexed="81"/>
            <rFont val="Tahoma"/>
            <family val="2"/>
          </rPr>
          <t xml:space="preserve">A different tool is required, and the robot must perform one tool change during this step.
</t>
        </r>
        <r>
          <rPr>
            <b/>
            <sz val="9"/>
            <color indexed="81"/>
            <rFont val="Tahoma"/>
            <family val="2"/>
          </rPr>
          <t xml:space="preserve">
Two Tool Changes: </t>
        </r>
        <r>
          <rPr>
            <sz val="9"/>
            <color indexed="81"/>
            <rFont val="Tahoma"/>
            <family val="2"/>
          </rPr>
          <t>Two different tools are required, and the robot must perform two tool changes during this step.</t>
        </r>
      </text>
    </comment>
    <comment ref="AC30" authorId="0" shapeId="0" xr:uid="{DA5B37F6-722E-424E-BB59-18373F8C9FBB}">
      <text>
        <r>
          <rPr>
            <sz val="9"/>
            <color indexed="81"/>
            <rFont val="Tahoma"/>
            <family val="2"/>
          </rPr>
          <t>Output: Human-Robot Cooperative disassembly time represents the total disassembly time when all tasks that are feasible for the robot are performed by the robot and are complemented by manual actions for tasks where robotic disassembly is not feasible. 
Note: Accounting for lower costs for robotic handling compared to human labour, robotic disassembly times are divided by a cost factor (n).</t>
        </r>
      </text>
    </comment>
    <comment ref="AC32" authorId="0" shapeId="0" xr:uid="{29532492-6A65-4F88-A161-3A9F628E0D83}">
      <text>
        <r>
          <rPr>
            <sz val="9"/>
            <color indexed="81"/>
            <rFont val="Tahoma"/>
            <family val="2"/>
          </rPr>
          <t xml:space="preserve">Output: Robotic Ease of Disassembly Metric time (ReDiM time) represents the minimum achievable total disassembly time  comparing the Human-Robot Cooperative time and the Manual Disassembly Time. </t>
        </r>
        <r>
          <rPr>
            <sz val="9"/>
            <color indexed="81"/>
            <rFont val="Tahoma"/>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Carina Loretz</author>
  </authors>
  <commentList>
    <comment ref="G2" authorId="0" shapeId="0" xr:uid="{BB1CA3A5-2CB5-42F1-AEA0-3209FA0A93D1}">
      <text>
        <r>
          <rPr>
            <sz val="9"/>
            <color indexed="81"/>
            <rFont val="Tahoma"/>
            <family val="2"/>
          </rPr>
          <t>Note: Red text indicates that robotic disassembly is not feasible under the predefined robotic parameters specified in the “Action time” sheet.</t>
        </r>
      </text>
    </comment>
    <comment ref="V2" authorId="0" shapeId="0" xr:uid="{EC163746-25CB-40F7-B5CD-5EBE6C8C5EB1}">
      <text>
        <r>
          <rPr>
            <sz val="9"/>
            <color indexed="81"/>
            <rFont val="Tahoma"/>
            <family val="2"/>
          </rPr>
          <t xml:space="preserve">Output: Manual Disassembly Time (Mt) for each disassembly step in seconds (s) break-down into single tasks and summed up.
</t>
        </r>
      </text>
    </comment>
    <comment ref="AC2" authorId="0" shapeId="0" xr:uid="{969F4333-3B41-4A65-8514-143550F328CA}">
      <text>
        <r>
          <rPr>
            <sz val="9"/>
            <color indexed="81"/>
            <rFont val="Tahoma"/>
            <family val="2"/>
          </rPr>
          <t>Output: Robotic Disassembly Time (Rt) for each disassembly step in seconds (s) break-down into single tasks and summed up.</t>
        </r>
      </text>
    </comment>
    <comment ref="A3" authorId="0" shapeId="0" xr:uid="{1DD28D56-0EAE-4737-A148-3C3ECEBED4B2}">
      <text>
        <r>
          <rPr>
            <sz val="9"/>
            <color indexed="81"/>
            <rFont val="Tahoma"/>
            <family val="2"/>
          </rPr>
          <t xml:space="preserve">ID for one connector (type)  that can be dissasembled in one disassembly step.
</t>
        </r>
      </text>
    </comment>
    <comment ref="B3" authorId="0" shapeId="0" xr:uid="{19956182-BEF3-4EDB-9A32-5E26CA5D1677}">
      <text>
        <r>
          <rPr>
            <sz val="9"/>
            <color indexed="81"/>
            <rFont val="Tahoma"/>
            <family val="2"/>
          </rPr>
          <t xml:space="preserve">Connectors ID(s) of precedent connectors that need to be disassembled before the disassembly step described in the current row.
</t>
        </r>
      </text>
    </comment>
    <comment ref="C3" authorId="0" shapeId="0" xr:uid="{D459126A-7337-41DC-AD30-23BB06ECF2C9}">
      <text>
        <r>
          <rPr>
            <sz val="9"/>
            <color indexed="81"/>
            <rFont val="Tahoma"/>
            <family val="2"/>
          </rPr>
          <t>Name of the component that it to be disasesmbled.</t>
        </r>
      </text>
    </comment>
    <comment ref="D3" authorId="0" shapeId="0" xr:uid="{D45A7D1A-E1B8-46AF-92FA-0D43BAE95325}">
      <text>
        <r>
          <rPr>
            <sz val="9"/>
            <color indexed="81"/>
            <rFont val="Tahoma"/>
            <family val="2"/>
          </rPr>
          <t xml:space="preserve">Name of the connector that is to be disassembled. If no connector is in place, write "No connector".
</t>
        </r>
      </text>
    </comment>
    <comment ref="E3" authorId="0" shapeId="0" xr:uid="{B77EAFB8-F812-450A-B813-5EF506B6383F}">
      <text>
        <r>
          <rPr>
            <sz val="9"/>
            <color indexed="81"/>
            <rFont val="Tahoma"/>
            <family val="2"/>
          </rPr>
          <t xml:space="preserve">Select the corresponding connector type from the drop-down. If not available, further connector types can be added to the list in "Connectors List" sheet.
</t>
        </r>
      </text>
    </comment>
    <comment ref="F3" authorId="0" shapeId="0" xr:uid="{78A48E92-04FB-4D86-AE7F-C050ACE2799D}">
      <text>
        <r>
          <rPr>
            <sz val="9"/>
            <color indexed="81"/>
            <rFont val="Tahoma"/>
            <family val="2"/>
          </rPr>
          <t xml:space="preserve">Number of  disassembled connectors in one disassembly step.
</t>
        </r>
      </text>
    </comment>
    <comment ref="G3" authorId="0" shapeId="0" xr:uid="{17DB3C16-EE07-42BF-B333-03F061D2C04D}">
      <text>
        <r>
          <rPr>
            <sz val="9"/>
            <color indexed="81"/>
            <rFont val="Tahoma"/>
            <family val="2"/>
          </rPr>
          <t>Is the location of the components &amp; connectors fixed for clear localisation with the robotic vision system?</t>
        </r>
      </text>
    </comment>
    <comment ref="H3" authorId="0" shapeId="0" xr:uid="{FD1E7345-4C81-498B-B338-EC6F918113BF}">
      <text>
        <r>
          <rPr>
            <sz val="9"/>
            <color indexed="81"/>
            <rFont val="Tahoma"/>
            <family val="2"/>
          </rPr>
          <t xml:space="preserve">Mass in g of the disassembled component. If no component is moved in the described disassembly step, write N/A.
</t>
        </r>
        <r>
          <rPr>
            <b/>
            <sz val="9"/>
            <color indexed="81"/>
            <rFont val="Tahoma"/>
            <family val="2"/>
          </rPr>
          <t xml:space="preserve">
Note: Adapt the maximum graspable component mass in the table "Robotic Disassembly Task Parameters" in the Action Time sheet according to your robotic cell.</t>
        </r>
        <r>
          <rPr>
            <sz val="9"/>
            <color indexed="81"/>
            <rFont val="Tahoma"/>
            <family val="2"/>
          </rPr>
          <t xml:space="preserve">
</t>
        </r>
      </text>
    </comment>
    <comment ref="I3" authorId="0" shapeId="0" xr:uid="{3D7647BA-803C-44AD-B7D2-397D38E0DA6B}">
      <text>
        <r>
          <rPr>
            <sz val="9"/>
            <color indexed="81"/>
            <rFont val="Tahoma"/>
            <family val="2"/>
          </rPr>
          <t xml:space="preserve">Length of the component's side, that is most likely to be grasped by the robotic parallel finger gripper.
</t>
        </r>
        <r>
          <rPr>
            <b/>
            <sz val="9"/>
            <color indexed="81"/>
            <rFont val="Tahoma"/>
            <family val="2"/>
          </rPr>
          <t xml:space="preserve">
Note: Adapt the maximum component grasp side length in the table "Robotic Disassembly Task Parameters" in the Action Time sheet according to your robotic cell.</t>
        </r>
        <r>
          <rPr>
            <sz val="9"/>
            <color indexed="81"/>
            <rFont val="Tahoma"/>
            <family val="2"/>
          </rPr>
          <t xml:space="preserve">
</t>
        </r>
      </text>
    </comment>
    <comment ref="M3" authorId="0" shapeId="0" xr:uid="{A6589DD2-95F2-4231-94B8-DDB52D7BF6C1}">
      <text>
        <r>
          <rPr>
            <sz val="9"/>
            <color indexed="81"/>
            <rFont val="Tahoma"/>
            <family val="2"/>
          </rPr>
          <t>Is the robotic parallel two finger gripper sufficient to perform the task or is a more specialized gripping tool required? N/A in case parallel finger is not required.</t>
        </r>
      </text>
    </comment>
    <comment ref="N3" authorId="0" shapeId="0" xr:uid="{E01EEEA5-9965-4845-9B95-31E124B5CA2D}">
      <text>
        <r>
          <rPr>
            <sz val="9"/>
            <color indexed="81"/>
            <rFont val="Tahoma"/>
            <family val="2"/>
          </rPr>
          <t xml:space="preserve">Indicate whether robotic disassembly is feasible. If the text in any cells in columns G–M appears red, robotic disassembly is not feasible → select "No"; otherwise, select "Yes".
</t>
        </r>
      </text>
    </comment>
    <comment ref="O3" authorId="0" shapeId="0" xr:uid="{02E12E5C-6F20-4154-9489-6916672015D3}">
      <text>
        <r>
          <rPr>
            <sz val="9"/>
            <color indexed="81"/>
            <rFont val="Tahoma"/>
            <family val="2"/>
          </rPr>
          <t xml:space="preserve">Is/are the connector(s)  visible to perform the disassembly?
</t>
        </r>
      </text>
    </comment>
    <comment ref="P3" authorId="0" shapeId="0" xr:uid="{17FBD9AB-7A81-4A52-9B14-76E365638139}">
      <text>
        <r>
          <rPr>
            <sz val="9"/>
            <color indexed="81"/>
            <rFont val="Tahoma"/>
            <family val="2"/>
          </rPr>
          <t xml:space="preserve">Need the  connector(s) be removed or not?
</t>
        </r>
      </text>
    </comment>
    <comment ref="S3" authorId="0" shapeId="0" xr:uid="{DBCCA545-1946-46BC-B485-87182D39CF3A}">
      <text>
        <r>
          <rPr>
            <sz val="9"/>
            <color indexed="81"/>
            <rFont val="Tahoma"/>
            <family val="2"/>
          </rPr>
          <t xml:space="preserve">Describe the required positioning type of the required tooling; If the connector distance is &gt; 5cm for at least one connector, then indicate &gt;5cm for the descirbed disassebly step.
</t>
        </r>
      </text>
    </comment>
    <comment ref="T3" authorId="0" shapeId="0" xr:uid="{CC19896C-9223-44BA-B7CD-5FA4D16E3BF0}">
      <text>
        <r>
          <rPr>
            <sz val="9"/>
            <color indexed="81"/>
            <rFont val="Tahoma"/>
            <family val="2"/>
          </rPr>
          <t xml:space="preserve">Describe the manipulation type required for the corresponding  disassembly step.
</t>
        </r>
      </text>
    </comment>
    <comment ref="U3" authorId="0" shapeId="0" xr:uid="{62D03782-AC16-4F13-8C32-ED12292E364F}">
      <text>
        <r>
          <rPr>
            <sz val="9"/>
            <color indexed="81"/>
            <rFont val="Tahoma"/>
            <family val="2"/>
          </rPr>
          <t>Describe the required removal type for the component removal?</t>
        </r>
        <r>
          <rPr>
            <sz val="9"/>
            <color indexed="81"/>
            <rFont val="Tahoma"/>
            <charset val="1"/>
          </rPr>
          <t xml:space="preserve">
</t>
        </r>
      </text>
    </comment>
    <comment ref="AJ3" authorId="0" shapeId="0" xr:uid="{BA1B81E3-0A60-4BE4-B7B3-991AD4A98F79}">
      <text>
        <r>
          <rPr>
            <sz val="9"/>
            <color indexed="81"/>
            <rFont val="Tahoma"/>
            <family val="2"/>
          </rPr>
          <t>Output: Human Working Time (Ht) shows Mt in case robotic disassembly is not feasible.</t>
        </r>
        <r>
          <rPr>
            <sz val="9"/>
            <color indexed="81"/>
            <rFont val="Tahoma"/>
            <charset val="1"/>
          </rPr>
          <t xml:space="preserve">
</t>
        </r>
      </text>
    </comment>
    <comment ref="AK3" authorId="0" shapeId="0" xr:uid="{45CDEB87-2E9D-48E4-ACFE-3C1FB044F33C}">
      <text>
        <r>
          <rPr>
            <sz val="9"/>
            <color indexed="81"/>
            <rFont val="Tahoma"/>
            <family val="2"/>
          </rPr>
          <t>Output: Task Changeover time (Ct) shows the required time in case of changeover between manual and robotic disassembly.</t>
        </r>
        <r>
          <rPr>
            <b/>
            <sz val="9"/>
            <color indexed="81"/>
            <rFont val="Tahoma"/>
            <charset val="1"/>
          </rPr>
          <t xml:space="preserve">
Note: If a single row is deleted, the formulas must be filled down again!</t>
        </r>
      </text>
    </comment>
    <comment ref="J4" authorId="0" shapeId="0" xr:uid="{831668EC-425E-4229-A546-F7485A5DAF6F}">
      <text>
        <r>
          <rPr>
            <sz val="9"/>
            <color indexed="81"/>
            <rFont val="Tahoma"/>
            <family val="2"/>
          </rPr>
          <t>What is the minimum distance from the connector X axis to the nearest object (axis choice is not important)?
FA: Full Access</t>
        </r>
      </text>
    </comment>
    <comment ref="K4" authorId="0" shapeId="0" xr:uid="{E7B537BE-5197-4A47-9603-FD359FCDE507}">
      <text>
        <r>
          <rPr>
            <sz val="9"/>
            <color indexed="81"/>
            <rFont val="Tahoma"/>
            <family val="2"/>
          </rPr>
          <t xml:space="preserve">What is the minimum distance from the connector Y axis to the nearest object (axis choice is not important).
FA: Full Access
</t>
        </r>
      </text>
    </comment>
    <comment ref="L4" authorId="0" shapeId="0" xr:uid="{E468503A-06AB-43C9-B836-AFD2CB4FCFB8}">
      <text>
        <r>
          <rPr>
            <sz val="9"/>
            <color indexed="81"/>
            <rFont val="Tahoma"/>
            <family val="2"/>
          </rPr>
          <t xml:space="preserve">What is the maximum distance from the connector Z-axis to the nearest object or how deep the connector from the surface (axis choice is important).
FA: Full Access
</t>
        </r>
      </text>
    </comment>
    <comment ref="Q4" authorId="0" shapeId="0" xr:uid="{C289F1C1-2CB6-4AAC-9B97-4CD7B5AD3D3C}">
      <text>
        <r>
          <rPr>
            <sz val="9"/>
            <color indexed="81"/>
            <rFont val="Tahoma"/>
            <family val="2"/>
          </rPr>
          <t xml:space="preserve">Is a tool change required for the described disassembly step during manual operation? Select the option that best applies:
</t>
        </r>
        <r>
          <rPr>
            <b/>
            <sz val="9"/>
            <color indexed="81"/>
            <rFont val="Tahoma"/>
            <family val="2"/>
          </rPr>
          <t xml:space="preserve">Tool - Fetch and Put back: </t>
        </r>
        <r>
          <rPr>
            <sz val="9"/>
            <color indexed="81"/>
            <rFont val="Tahoma"/>
            <family val="2"/>
          </rPr>
          <t xml:space="preserve">A tool is required and must be fetched before the step and returned afterward.
</t>
        </r>
        <r>
          <rPr>
            <b/>
            <sz val="9"/>
            <color indexed="81"/>
            <rFont val="Tahoma"/>
            <family val="2"/>
          </rPr>
          <t xml:space="preserve">Tool - Fetch: </t>
        </r>
        <r>
          <rPr>
            <sz val="9"/>
            <color indexed="81"/>
            <rFont val="Tahoma"/>
            <family val="2"/>
          </rPr>
          <t xml:space="preserve">A tool is required and must be fetched, but it is kept for use in the next step.
</t>
        </r>
        <r>
          <rPr>
            <b/>
            <sz val="9"/>
            <color indexed="81"/>
            <rFont val="Tahoma"/>
            <family val="2"/>
          </rPr>
          <t>Tool - Put back:</t>
        </r>
        <r>
          <rPr>
            <sz val="9"/>
            <color indexed="81"/>
            <rFont val="Tahoma"/>
            <family val="2"/>
          </rPr>
          <t xml:space="preserve"> A tool is already in use from the previous step and must be returned after this step.
</t>
        </r>
        <r>
          <rPr>
            <b/>
            <sz val="9"/>
            <color indexed="81"/>
            <rFont val="Tahoma"/>
            <family val="2"/>
          </rPr>
          <t xml:space="preserve">
No Tool: </t>
        </r>
        <r>
          <rPr>
            <sz val="9"/>
            <color indexed="81"/>
            <rFont val="Tahoma"/>
            <family val="2"/>
          </rPr>
          <t>No tool is required, or the required tool is already in place and does not need to be fetched or returned for this step.</t>
        </r>
      </text>
    </comment>
    <comment ref="R4" authorId="0" shapeId="0" xr:uid="{044B9945-6B5D-4BB1-80FE-EA6642C0564C}">
      <text>
        <r>
          <rPr>
            <sz val="9"/>
            <color indexed="81"/>
            <rFont val="Tahoma"/>
            <family val="2"/>
          </rPr>
          <t xml:space="preserve">Is a tool change required for the described disassembly step during robotic operation? Select the option that best applies:
</t>
        </r>
        <r>
          <rPr>
            <b/>
            <sz val="9"/>
            <color indexed="81"/>
            <rFont val="Tahoma"/>
            <family val="2"/>
          </rPr>
          <t xml:space="preserve">No Tool Change: </t>
        </r>
        <r>
          <rPr>
            <sz val="9"/>
            <color indexed="81"/>
            <rFont val="Tahoma"/>
            <family val="2"/>
          </rPr>
          <t xml:space="preserve">The same tool from the previous step is used.
</t>
        </r>
        <r>
          <rPr>
            <b/>
            <sz val="9"/>
            <color indexed="81"/>
            <rFont val="Tahoma"/>
            <family val="2"/>
          </rPr>
          <t>Tool Change:</t>
        </r>
        <r>
          <rPr>
            <sz val="9"/>
            <color indexed="81"/>
            <rFont val="Tahoma"/>
            <family val="2"/>
          </rPr>
          <t xml:space="preserve"> A different tool is required, and the robot must perform one tool change during this step.
</t>
        </r>
        <r>
          <rPr>
            <b/>
            <sz val="9"/>
            <color indexed="81"/>
            <rFont val="Tahoma"/>
            <family val="2"/>
          </rPr>
          <t xml:space="preserve">Two Tool Changes: </t>
        </r>
        <r>
          <rPr>
            <sz val="9"/>
            <color indexed="81"/>
            <rFont val="Tahoma"/>
            <family val="2"/>
          </rPr>
          <t>Two different tools are required, and the robot must perform two tool changes during this step.</t>
        </r>
      </text>
    </comment>
    <comment ref="AC13" authorId="0" shapeId="0" xr:uid="{C95F307B-E035-442F-85EB-9102A45A7CDA}">
      <text>
        <r>
          <rPr>
            <sz val="9"/>
            <color indexed="81"/>
            <rFont val="Tahoma"/>
            <family val="2"/>
          </rPr>
          <t>Output: Human-Robot Cooperative disassembly time represents the total disassembly time when all tasks that are feasible for the robot are performed by the robot and are complemented by manual actions for tasks where robotic disassembly is not feasible. 
Note: Accounting for lower costs for robotic handling compared to human labour, robotic disassembly times are divided by a cost factor (n).</t>
        </r>
      </text>
    </comment>
    <comment ref="AC15" authorId="0" shapeId="0" xr:uid="{C4C61887-EE74-4EDA-9C68-E7BA3619875E}">
      <text>
        <r>
          <rPr>
            <sz val="9"/>
            <color indexed="81"/>
            <rFont val="Tahoma"/>
            <family val="2"/>
          </rPr>
          <t xml:space="preserve">Output: Robotic Ease of Disassembly Metric time (ReDiM time) represents the minimum achievable total disassembly time  comparing the Human-Robot Cooperative time and the Manual Disassembly Time. </t>
        </r>
        <r>
          <rPr>
            <sz val="9"/>
            <color indexed="81"/>
            <rFont val="Tahoma"/>
            <charset val="1"/>
          </rPr>
          <t xml:space="preserve">
</t>
        </r>
      </text>
    </comment>
  </commentList>
</comments>
</file>

<file path=xl/sharedStrings.xml><?xml version="1.0" encoding="utf-8"?>
<sst xmlns="http://schemas.openxmlformats.org/spreadsheetml/2006/main" count="986" uniqueCount="337">
  <si>
    <t>Product Information</t>
  </si>
  <si>
    <t>Robotic disassembly criteria assessment information</t>
  </si>
  <si>
    <t>Disassembly description</t>
  </si>
  <si>
    <t>Robotic Disassembly ?</t>
  </si>
  <si>
    <t>Notes</t>
  </si>
  <si>
    <t>Connector ID</t>
  </si>
  <si>
    <t>Connector ID (s) Disassembled</t>
  </si>
  <si>
    <t>Disassembling component Name</t>
  </si>
  <si>
    <t>Disassembling Connector Name</t>
  </si>
  <si>
    <t>Connector Type</t>
  </si>
  <si>
    <t>Number of connectors</t>
  </si>
  <si>
    <t>Connector &amp; Component location fixed ?</t>
  </si>
  <si>
    <t>Component grasp side length (mm)</t>
  </si>
  <si>
    <t>Connector tool access clearance</t>
  </si>
  <si>
    <t>parallel finger connector operation ?</t>
  </si>
  <si>
    <t>Connector visibility ?</t>
  </si>
  <si>
    <t>Connector Removal ?</t>
  </si>
  <si>
    <t>Tool Change Type for</t>
  </si>
  <si>
    <t>Manipulation Type</t>
  </si>
  <si>
    <t>Component Removal Type</t>
  </si>
  <si>
    <t>Tool Changing (s)</t>
  </si>
  <si>
    <t>Identifying (s)</t>
  </si>
  <si>
    <t>Manipulating (s)</t>
  </si>
  <si>
    <t>Positioning (s)</t>
  </si>
  <si>
    <t>Disconnecting (s)</t>
  </si>
  <si>
    <t>Removing (s)</t>
  </si>
  <si>
    <t>Total (s)</t>
  </si>
  <si>
    <t>Traversing (s)</t>
  </si>
  <si>
    <t>length (mm)</t>
  </si>
  <si>
    <t>width (mm)</t>
  </si>
  <si>
    <t>depth (mm)</t>
  </si>
  <si>
    <t>Manual Operation</t>
  </si>
  <si>
    <t>Robotic Operation ?</t>
  </si>
  <si>
    <t>Screw, M8 Hex, 14 turns</t>
  </si>
  <si>
    <t>Tool - Fetch and Put back</t>
  </si>
  <si>
    <t>Tool Change</t>
  </si>
  <si>
    <t>Light pressure, freq&gt;1 &amp; connector  distance &gt; 5cm</t>
  </si>
  <si>
    <t>No manipulation</t>
  </si>
  <si>
    <t>No removal</t>
  </si>
  <si>
    <t>Position pins, 5 mm &lt; L &lt; 7 mm</t>
  </si>
  <si>
    <t>Care/Precision/Heavy pressure,  freq&gt;1 &amp; connector  distance &gt; 5cm</t>
  </si>
  <si>
    <t>Interlocked object with resistance</t>
  </si>
  <si>
    <t>No connector</t>
  </si>
  <si>
    <t>No Tool</t>
  </si>
  <si>
    <t>No Tool Change</t>
  </si>
  <si>
    <t>Hand positioning with no connector, Low precision</t>
  </si>
  <si>
    <t>Light object</t>
  </si>
  <si>
    <t xml:space="preserve">Total                            </t>
  </si>
  <si>
    <t>Human-Robot Cooperative disassembly time</t>
  </si>
  <si>
    <t>Connector List</t>
  </si>
  <si>
    <t>MOST Disassembly sequence</t>
  </si>
  <si>
    <t>Manual Disassembly Time (TMU)</t>
  </si>
  <si>
    <t>Manual Disassembly Time (s/task)</t>
  </si>
  <si>
    <t>No. of Turns</t>
  </si>
  <si>
    <t>Robotic Disassembly Time (s/task)</t>
  </si>
  <si>
    <t>Note</t>
  </si>
  <si>
    <t>[4]</t>
  </si>
  <si>
    <t>Screw, T8, 3 turns</t>
  </si>
  <si>
    <t>|L6|</t>
  </si>
  <si>
    <t>Screw, T15, 9 turns</t>
  </si>
  <si>
    <t>|L16|</t>
  </si>
  <si>
    <t>Screw, T20, 5 turns</t>
  </si>
  <si>
    <t>|L10|</t>
  </si>
  <si>
    <t>Screw, T20, 8 turns</t>
  </si>
  <si>
    <t>Screw, T20, 11 turns</t>
  </si>
  <si>
    <t>|L24|</t>
  </si>
  <si>
    <t>Screw, M6 Hex, 9 turns</t>
  </si>
  <si>
    <t>Pitch = 8/9 (9 ratchet turns, arm action)</t>
  </si>
  <si>
    <t>Screw, M6 Hex, 14 turns</t>
  </si>
  <si>
    <t>|L32|</t>
  </si>
  <si>
    <t>Pitch = 14 (14 ratchet turns, arm action)</t>
  </si>
  <si>
    <t>Screw, M6 Hex, 16 turns</t>
  </si>
  <si>
    <t>|L42|</t>
  </si>
  <si>
    <t>Pitch = 16 (16 ratchet turns, arm action)</t>
  </si>
  <si>
    <t>Screw, M6 Hex, 20 turns</t>
  </si>
  <si>
    <t>Pitch = 20 (20 ratchet turns, arm action)</t>
  </si>
  <si>
    <t>Screw, M8 Hex, 8 turns</t>
  </si>
  <si>
    <t>Pitch = 8 (8 ratchet turns, arm action)</t>
  </si>
  <si>
    <t>Screw, M8 Hex, 17 turns</t>
  </si>
  <si>
    <t>Pitch = 17 (17 ratchet turns, arm action)</t>
  </si>
  <si>
    <t>Screw, M8 Hex, 20 turns</t>
  </si>
  <si>
    <t>|L54|</t>
  </si>
  <si>
    <t>Screw, M8 Hex, 38 turns</t>
  </si>
  <si>
    <t>|L96|</t>
  </si>
  <si>
    <t>Pitch = 38 (38 ratchet turns, arm action)</t>
  </si>
  <si>
    <t>Screw, M10 Hex, 25 turns</t>
  </si>
  <si>
    <t>|L64|</t>
  </si>
  <si>
    <t>Pitch = 25 (25 ratchet turns, arm action)</t>
  </si>
  <si>
    <t>Nut, M6 Hex, 3 turns</t>
  </si>
  <si>
    <t>(3 ratchet turns, arm action)</t>
  </si>
  <si>
    <t>Nut, M10 Hex, 3 turns</t>
  </si>
  <si>
    <t>Cable plug, F &lt; 5N</t>
  </si>
  <si>
    <t>|L1|</t>
  </si>
  <si>
    <t>Cable plug Type 3 [3]</t>
  </si>
  <si>
    <t>Cable plug, F &gt; 5N, Interlocked</t>
  </si>
  <si>
    <t>|L1|+|L1|</t>
  </si>
  <si>
    <t>[1]</t>
  </si>
  <si>
    <t>Connector button, Short press</t>
  </si>
  <si>
    <t>|M1|</t>
  </si>
  <si>
    <t>short pressing, moving or rotating action of the fingers, hands , wrist or feet [4]</t>
  </si>
  <si>
    <t>Hinge, F &lt; 5N</t>
  </si>
  <si>
    <t>[3]</t>
  </si>
  <si>
    <t>Pin connector, F &lt; 5N</t>
  </si>
  <si>
    <t>Cable hook, F &lt; 5N</t>
  </si>
  <si>
    <t>|L3|</t>
  </si>
  <si>
    <t>1 Hand turn [4]</t>
  </si>
  <si>
    <t>PCB connector, F &lt; 5N</t>
  </si>
  <si>
    <t>Reuseable cable tie, F &lt; 5N</t>
  </si>
  <si>
    <t xml:space="preserve">Snap Fit, F &lt; 5N </t>
  </si>
  <si>
    <t>[4] based on [1]</t>
  </si>
  <si>
    <t>Snap Fit, 5N &lt; F &lt; 20N</t>
  </si>
  <si>
    <t>based on [1] with hand operation instead of screw driver</t>
  </si>
  <si>
    <t>Spring hook, F &lt; 5N</t>
  </si>
  <si>
    <t>Metal pin - sliding,  F &lt; 5N</t>
  </si>
  <si>
    <t>Adhesive, F &lt; 5N</t>
  </si>
  <si>
    <t>Adhesive, F &gt; 5N</t>
  </si>
  <si>
    <t>|A1B0P6A0|+(|L10|)*2</t>
  </si>
  <si>
    <t xml:space="preserve">Each positioning pin needs two positioning actions (one care positioining action is included in the disconnection action), and each positioning place needs 5 strokes </t>
  </si>
  <si>
    <t>T10x12 Torx screw</t>
  </si>
  <si>
    <t>Thread length = 12mm, D=7mm, Screw Type 3 (Screw D&lt;=6mm) [3]</t>
  </si>
  <si>
    <t>T20x8 Torx screw</t>
  </si>
  <si>
    <t>Thread length = 8mm, D=8mm</t>
  </si>
  <si>
    <t>Cross/Phillip Screw, 5mm &lt; D &lt; 8mm</t>
  </si>
  <si>
    <t xml:space="preserve">for D=7mm: Thread length = 12mm, 5 hand screw driver turns [4] </t>
  </si>
  <si>
    <t>Cross/Phillip Screw , D &lt;= 5mm</t>
  </si>
  <si>
    <t xml:space="preserve">for D=5mm: Thread length = 8mm, 3 hand screw driver turns [4] , for D=4mm: Thread length = 7mm ,  3 hand screw driver turns  [4] </t>
  </si>
  <si>
    <t>Screw, ___, 2 turns</t>
  </si>
  <si>
    <t>Screw, ___, 3 turns</t>
  </si>
  <si>
    <t>Screw, ___, 4 turns</t>
  </si>
  <si>
    <t>Screw, ___, 5 turns</t>
  </si>
  <si>
    <t>Screw, ___, 6 turns</t>
  </si>
  <si>
    <t>Screw, ___, 7 turns</t>
  </si>
  <si>
    <t>Screw, ___, 8 turns</t>
  </si>
  <si>
    <t>Screw, ___, 9 turns</t>
  </si>
  <si>
    <t>Screw, ___, 10 turns</t>
  </si>
  <si>
    <t>Screw, ___, 11 turns</t>
  </si>
  <si>
    <t>Screw, ___, 12 turns</t>
  </si>
  <si>
    <t>Screw, ___, 13 turns</t>
  </si>
  <si>
    <t>Screw, ___, 14 turns</t>
  </si>
  <si>
    <t>Screw, ___, 15 turns</t>
  </si>
  <si>
    <t>Screw, ___, 16 turns</t>
  </si>
  <si>
    <t>Screw, ___, 17 turns</t>
  </si>
  <si>
    <t>Screw, ___, 18 turns</t>
  </si>
  <si>
    <t>Screw, ___, 19 turns</t>
  </si>
  <si>
    <t>Screw, ___, 20 turns</t>
  </si>
  <si>
    <t>Screw, ___, 21 turns</t>
  </si>
  <si>
    <t>Screw, ___, 22 turns</t>
  </si>
  <si>
    <t>Screw, ___, 23 turns</t>
  </si>
  <si>
    <t>Screw, ___, 24 turns</t>
  </si>
  <si>
    <t>Screw, ___, 25 turns</t>
  </si>
  <si>
    <t>Screw, ___, 26 turns</t>
  </si>
  <si>
    <t>Screw, ___, 27 turns</t>
  </si>
  <si>
    <t>Screw, ___, 28 turns</t>
  </si>
  <si>
    <t>Screw, ___, 29 turns</t>
  </si>
  <si>
    <t>Positioning</t>
  </si>
  <si>
    <t>MOST sequence</t>
  </si>
  <si>
    <t>Time (TMU)</t>
  </si>
  <si>
    <t>Time (s/task)</t>
  </si>
  <si>
    <t>Light pressure, freq =1</t>
  </si>
  <si>
    <t>|A1B0P3A0|</t>
  </si>
  <si>
    <t>Light pressure, freq&gt;1 &amp; connector  distance &lt; 5cm</t>
  </si>
  <si>
    <t>|A1B0(P3A0|   )</t>
  </si>
  <si>
    <t>10 TMU related to A1 will be added as a constant parameter in the calcuation</t>
  </si>
  <si>
    <t>|A0B0(P3A1|   )</t>
  </si>
  <si>
    <t>Care/Precision/Heavy pressure, freq= 1</t>
  </si>
  <si>
    <t>|A1B0P6A0|</t>
  </si>
  <si>
    <t>Care/Precision/Heavy pressure,  freq&gt;1 &amp; connector  distance &lt; 5cm</t>
  </si>
  <si>
    <t>|A1B0(P6A0|   )</t>
  </si>
  <si>
    <t>|A0B0(P6A1|   )</t>
  </si>
  <si>
    <t>Hand positioning with no connector, High precision</t>
  </si>
  <si>
    <t>Manipulation</t>
  </si>
  <si>
    <t>Turning the object with one hand</t>
  </si>
  <si>
    <t>|A1B0G1|+|L3|</t>
  </si>
  <si>
    <t>Turning the object with two hands</t>
  </si>
  <si>
    <t>|A1B0G3|+|L6|</t>
  </si>
  <si>
    <t>Walking 3 or 4 steps</t>
  </si>
  <si>
    <t>|A6|</t>
  </si>
  <si>
    <t>Lifting the object with one hand</t>
  </si>
  <si>
    <t>Two hand manipulation</t>
  </si>
  <si>
    <t>Disengaging of 1-3 wires</t>
  </si>
  <si>
    <t>|A1B0G3|+|L3|</t>
  </si>
  <si>
    <t>|A1B0G3|+|M3|+|A1B0P1|</t>
  </si>
  <si>
    <t>Interlocked object with M3 - Resistance in object removal</t>
  </si>
  <si>
    <t>Disengaging of 4-6 wires</t>
  </si>
  <si>
    <t>Removal Type</t>
  </si>
  <si>
    <t>|A1B0G1|+|A1B0P1|</t>
  </si>
  <si>
    <t>Heavy/Interlocked object</t>
  </si>
  <si>
    <t>|A1B0G3|+|A1B0P1|</t>
  </si>
  <si>
    <t>When there is a hesitation or pause needed for the muscles to tense or object is tangled with other objects or force is needed to free from the surrounding</t>
  </si>
  <si>
    <t>2 Light objects</t>
  </si>
  <si>
    <t>(|A1B0G1|+|A1B0P1|) (2)</t>
  </si>
  <si>
    <t>3 Light objects</t>
  </si>
  <si>
    <t>(|A1B0G1|+|A1B0P1|) (3)</t>
  </si>
  <si>
    <t>4 Light objects</t>
  </si>
  <si>
    <t>(|A1B0G1|+|A1B0P1|) (4)</t>
  </si>
  <si>
    <t>Locational Transition fit</t>
  </si>
  <si>
    <t>|A1B6G3|+|M3I16|+|A1B0P1|</t>
  </si>
  <si>
    <t>A1-within reach, B6-bending, G3- heavy gain control, M3 - High control, I16 - Align precision, |A1B0P1| - to place the object</t>
  </si>
  <si>
    <t>Locational Interference fit, 15 mm &lt; L &lt; 20 mm</t>
  </si>
  <si>
    <t>(|A1B6P6A0|+|L42|+|A1B6G3|)+(|A1B6G3|+|M3I16|+|A1B0P1|)</t>
  </si>
  <si>
    <t>|A1B6P6A0| - positioning the 2 Arm Bearing Puller tool with precision and bending, |L42| - 15 racheting rotations of the tool, |A1B6G3| - Gain control to disengage the tool, Locational Transition fit removal</t>
  </si>
  <si>
    <t>Locational Interference fit, 20 mm &lt; L &lt; 25 mm</t>
  </si>
  <si>
    <t>(|A1B6P6A0|+|L54|+|A1B6G3|)+(|A1B6G3|+|M3I16|+|A1B0P1|)</t>
  </si>
  <si>
    <t>|A1B6P6A0| - positioning the 2 Arm Bearing Puller tool with precision and bending, |L54| - 20 racheting rotations of the tool, |A1B6G3| - Gain control to disengage the tool, Locational Transition fit removal</t>
  </si>
  <si>
    <t>Other Manual Operation Actions</t>
  </si>
  <si>
    <t>Identify to localize connector with visible area &lt; 0,05 mm2</t>
  </si>
  <si>
    <t>|T10|</t>
  </si>
  <si>
    <t>Manual Tool Change</t>
  </si>
  <si>
    <t>Fetch and put back [1]</t>
  </si>
  <si>
    <t>Tool - Fetch</t>
  </si>
  <si>
    <t>|A1B0G1|</t>
  </si>
  <si>
    <t>Tool - Put back</t>
  </si>
  <si>
    <t>|A1B0P1|</t>
  </si>
  <si>
    <t>Robotic Disassembly Task Parameters</t>
  </si>
  <si>
    <t>Parameter Values</t>
  </si>
  <si>
    <t>Traversal distance (mm)</t>
  </si>
  <si>
    <t>Robot cartesian speed - High (m/s)</t>
  </si>
  <si>
    <t>Robot cartesian speed - Low (m/s)</t>
  </si>
  <si>
    <t>Tool change action (s)</t>
  </si>
  <si>
    <t>Tool Change distance (mm)</t>
  </si>
  <si>
    <t>Removal distance (mm)</t>
  </si>
  <si>
    <t>Care positioning time (s)</t>
  </si>
  <si>
    <t>Light positioning time (s)</t>
  </si>
  <si>
    <t>Conveying distance (mm)</t>
  </si>
  <si>
    <t>Conveyor speed (mm/s)</t>
  </si>
  <si>
    <t>Two finger gripper grasping action (Low stroke) (s)</t>
  </si>
  <si>
    <t>Two finger gripper grasping action (High stroke)  (s)</t>
  </si>
  <si>
    <t>Two finger high stroke gripper with pneumatic muscles (s)</t>
  </si>
  <si>
    <t>Wire cutting action  (s)</t>
  </si>
  <si>
    <t>Turning action (s)</t>
  </si>
  <si>
    <t>Unscrewing speed (rpm)</t>
  </si>
  <si>
    <t>Change according to the tool used, Low torque unscrewing = 450, High torque unscrewing = 100</t>
  </si>
  <si>
    <t>Automatic clamping &amp; positioning  (s)</t>
  </si>
  <si>
    <t>Cost factor - n (#)</t>
  </si>
  <si>
    <t>Robot Actions</t>
  </si>
  <si>
    <t>Action Time (s)</t>
  </si>
  <si>
    <t>Robot traversal</t>
  </si>
  <si>
    <t>Two Tool Changes</t>
  </si>
  <si>
    <t>Object removal</t>
  </si>
  <si>
    <t>Task Changeover time</t>
  </si>
  <si>
    <t>Positioning connector distance &lt; 5cm</t>
  </si>
  <si>
    <t>Positioning connector distance &gt; 5cm</t>
  </si>
  <si>
    <t>Before the metric can be filled, it is important to understand the specifications for disassembly the selected product and to define the disassembly setting. Therefore, required information on the disassembly tasks, product components and disassembly tooling need to be gathered systematically.</t>
  </si>
  <si>
    <t>1. Preparatory Work</t>
  </si>
  <si>
    <t>4. Product optimization</t>
  </si>
  <si>
    <t xml:space="preserve"> Positioning Type</t>
  </si>
  <si>
    <r>
      <t>Human Working Time (H</t>
    </r>
    <r>
      <rPr>
        <b/>
        <vertAlign val="subscript"/>
        <sz val="10"/>
        <color rgb="FF2A4942"/>
        <rFont val="Calibri"/>
        <family val="2"/>
        <scheme val="minor"/>
      </rPr>
      <t>t</t>
    </r>
    <r>
      <rPr>
        <b/>
        <sz val="10"/>
        <color rgb="FF2A4942"/>
        <rFont val="Calibri"/>
        <family val="2"/>
        <scheme val="minor"/>
      </rPr>
      <t>)</t>
    </r>
  </si>
  <si>
    <r>
      <t>Task Changeover time (C</t>
    </r>
    <r>
      <rPr>
        <b/>
        <vertAlign val="subscript"/>
        <sz val="10"/>
        <color rgb="FF2A4942"/>
        <rFont val="Calibri"/>
        <family val="2"/>
        <scheme val="minor"/>
      </rPr>
      <t>t</t>
    </r>
    <r>
      <rPr>
        <b/>
        <sz val="10"/>
        <color rgb="FF2A4942"/>
        <rFont val="Calibri"/>
        <family val="2"/>
        <scheme val="minor"/>
      </rPr>
      <t>)</t>
    </r>
  </si>
  <si>
    <t>Re-DiM - Step by step guide</t>
  </si>
  <si>
    <t>2. Re-DiM Inputs</t>
  </si>
  <si>
    <t>3. Re-DiM Outputs</t>
  </si>
  <si>
    <t>Based on the product-specific disassembly information, the Re-DiM evaluates the expected times for each disassembly step, sums it up to an overall disassembly time and provides comparison of the manual disassembly time and the human-robot cooperative disassembly time. Obtain the result for the disassembly of the whole product as well as for each prioriy part:</t>
  </si>
  <si>
    <t>The structural assessment of each connector and disassembly step of a product provides qualitative insights supporting redesign and the development of hybrid disassembly strategies. In addition, the estimated disassembly times generated using the Re-DiM tool offer a quantitative measure for evaluating the current state of a product’s disassembly effort and identifying potential areas for improvement.</t>
  </si>
  <si>
    <t>Robotic ease of Disassembly metric time (Re-DiM time)</t>
  </si>
  <si>
    <r>
      <t xml:space="preserve">Key Questions: </t>
    </r>
    <r>
      <rPr>
        <b/>
        <i/>
        <sz val="12"/>
        <color rgb="FF2A4942"/>
        <rFont val="Calibri"/>
        <family val="2"/>
        <scheme val="minor"/>
      </rPr>
      <t xml:space="preserve">Which and how many connectors are used in the product? What disassembly operation, tool and manipulation is needed? </t>
    </r>
  </si>
  <si>
    <r>
      <t xml:space="preserve">Key Questions: </t>
    </r>
    <r>
      <rPr>
        <b/>
        <i/>
        <sz val="12"/>
        <color rgb="FF2A4942"/>
        <rFont val="Calibri"/>
        <family val="2"/>
        <scheme val="minor"/>
      </rPr>
      <t xml:space="preserve">How to optimize the product design to minimize disassembly efforts and enable human-robot cooperative disassembly? </t>
    </r>
  </si>
  <si>
    <t>[1] Peeters JR, Tecchio P, Ardente F, Vanegas P, Coughlan D, Duflou JR (2018) eDIM: further development of the method to assess the ease of disassembly and reassembly of products - Application to notebook computers. Publications Office of the European Union, Luxembourg</t>
  </si>
  <si>
    <t>[2] de Fazio F, Bakker C, Flipsen B, Balkenende R (2021) The Disassembly Map: A new method to enhance design for product repairability. J Clean Prod 320:128552</t>
  </si>
  <si>
    <t>References</t>
  </si>
  <si>
    <t>-</t>
  </si>
  <si>
    <t>Yes</t>
  </si>
  <si>
    <t>FA</t>
  </si>
  <si>
    <t>No</t>
  </si>
  <si>
    <t>Front door</t>
  </si>
  <si>
    <t>Torx T20 screw</t>
  </si>
  <si>
    <t>1</t>
  </si>
  <si>
    <t>Fan cover</t>
  </si>
  <si>
    <t>Cover</t>
  </si>
  <si>
    <t>Torx T10 screw</t>
  </si>
  <si>
    <t>3</t>
  </si>
  <si>
    <t>Fastener</t>
  </si>
  <si>
    <t>Snap fit</t>
  </si>
  <si>
    <t>4</t>
  </si>
  <si>
    <t>Electrical wire connection to fan</t>
  </si>
  <si>
    <t>Cable plug</t>
  </si>
  <si>
    <t>1,2,5</t>
  </si>
  <si>
    <t>Fan carrier + Fan</t>
  </si>
  <si>
    <t>1,2,5,6</t>
  </si>
  <si>
    <t>Fan</t>
  </si>
  <si>
    <t>Cooler master</t>
  </si>
  <si>
    <t>3,8</t>
  </si>
  <si>
    <t>Cross screw</t>
  </si>
  <si>
    <t>3,8,9</t>
  </si>
  <si>
    <t>Cooler fan</t>
  </si>
  <si>
    <t>1,3</t>
  </si>
  <si>
    <t>Hard Disk Drive (HDD) module 1</t>
  </si>
  <si>
    <t>NA</t>
  </si>
  <si>
    <t>1,3,11</t>
  </si>
  <si>
    <t>1,3,11,12</t>
  </si>
  <si>
    <t>Desktop Hard Disk Drive (HDD) 1</t>
  </si>
  <si>
    <t>Hard Disk Drive (HDD) module 2</t>
  </si>
  <si>
    <t>1,3,14</t>
  </si>
  <si>
    <t>1,3,14,15</t>
  </si>
  <si>
    <t>Desktop Hard Disk Drive (HDD) 2</t>
  </si>
  <si>
    <t>Dummy module</t>
  </si>
  <si>
    <t>Optical disc drive</t>
  </si>
  <si>
    <t>1,3,11,12,14,15,17,18</t>
  </si>
  <si>
    <t>Drive carrier</t>
  </si>
  <si>
    <t>1,3,9</t>
  </si>
  <si>
    <t>Front frame</t>
  </si>
  <si>
    <t>1,3,17,18,19,20</t>
  </si>
  <si>
    <t>Printed Circuit Board (PCB)</t>
  </si>
  <si>
    <t>Flat head screw</t>
  </si>
  <si>
    <t>Power supply</t>
  </si>
  <si>
    <t>1,3,5,6,11,14,17,22</t>
  </si>
  <si>
    <t>Mother board</t>
  </si>
  <si>
    <t>1,3,5,6,11,14,17,22,23</t>
  </si>
  <si>
    <t>Heat sink</t>
  </si>
  <si>
    <t>Maximum component grasp side length (mm)</t>
  </si>
  <si>
    <t>Component Mass (g)</t>
  </si>
  <si>
    <r>
      <t xml:space="preserve">Assumption-1 : </t>
    </r>
    <r>
      <rPr>
        <sz val="10"/>
        <color rgb="FF2A4942"/>
        <rFont val="Calibri"/>
        <family val="2"/>
        <scheme val="minor"/>
      </rPr>
      <t>Operator is aware of the disassembly sequence</t>
    </r>
  </si>
  <si>
    <r>
      <t xml:space="preserve">Re-DiM, which stands for </t>
    </r>
    <r>
      <rPr>
        <b/>
        <sz val="11"/>
        <color theme="1"/>
        <rFont val="Calibri"/>
        <family val="2"/>
        <scheme val="minor"/>
      </rPr>
      <t>Robotic Ease of Disassembly Metric</t>
    </r>
    <r>
      <rPr>
        <sz val="11"/>
        <color theme="1"/>
        <rFont val="Calibri"/>
        <family val="2"/>
        <scheme val="minor"/>
      </rPr>
      <t xml:space="preserve">, is a time-based metric developed to assess the effort required to disassemble products manually, robotically, and through human-robot cooperation. With Re-DiM </t>
    </r>
    <r>
      <rPr>
        <b/>
        <sz val="11"/>
        <color theme="1"/>
        <rFont val="Calibri"/>
        <family val="2"/>
        <scheme val="minor"/>
      </rPr>
      <t>disassembly time</t>
    </r>
    <r>
      <rPr>
        <sz val="11"/>
        <color theme="1"/>
        <rFont val="Calibri"/>
        <family val="2"/>
        <scheme val="minor"/>
      </rPr>
      <t xml:space="preserve"> as well as </t>
    </r>
    <r>
      <rPr>
        <b/>
        <sz val="11"/>
        <color theme="1"/>
        <rFont val="Calibri"/>
        <family val="2"/>
        <scheme val="minor"/>
      </rPr>
      <t>design improvements</t>
    </r>
    <r>
      <rPr>
        <sz val="11"/>
        <color theme="1"/>
        <rFont val="Calibri"/>
        <family val="2"/>
        <scheme val="minor"/>
      </rPr>
      <t xml:space="preserve">  for easy disassembly of a selected product can be identified in four steps: 
After</t>
    </r>
    <r>
      <rPr>
        <b/>
        <sz val="11"/>
        <color theme="1"/>
        <rFont val="Calibri"/>
        <family val="2"/>
        <scheme val="minor"/>
      </rPr>
      <t xml:space="preserve"> preparatory work (1)</t>
    </r>
    <r>
      <rPr>
        <sz val="11"/>
        <color theme="1"/>
        <rFont val="Calibri"/>
        <family val="2"/>
        <scheme val="minor"/>
      </rPr>
      <t xml:space="preserve">, the metric can be filled with all required </t>
    </r>
    <r>
      <rPr>
        <b/>
        <sz val="11"/>
        <color theme="1"/>
        <rFont val="Calibri"/>
        <family val="2"/>
        <scheme val="minor"/>
      </rPr>
      <t>disassembly information (2)</t>
    </r>
    <r>
      <rPr>
        <sz val="11"/>
        <color theme="1"/>
        <rFont val="Calibri"/>
        <family val="2"/>
        <scheme val="minor"/>
      </rPr>
      <t xml:space="preserve"> to evaluate the estimated time for </t>
    </r>
    <r>
      <rPr>
        <b/>
        <sz val="11"/>
        <color theme="1"/>
        <rFont val="Calibri"/>
        <family val="2"/>
        <scheme val="minor"/>
      </rPr>
      <t>disassembly efforts (3)</t>
    </r>
    <r>
      <rPr>
        <sz val="11"/>
        <color theme="1"/>
        <rFont val="Calibri"/>
        <family val="2"/>
        <scheme val="minor"/>
      </rPr>
      <t xml:space="preserve">. Based on the findings, </t>
    </r>
    <r>
      <rPr>
        <b/>
        <sz val="11"/>
        <color theme="1"/>
        <rFont val="Calibri"/>
        <family val="2"/>
        <scheme val="minor"/>
      </rPr>
      <t xml:space="preserve">improvement strategies (4) </t>
    </r>
    <r>
      <rPr>
        <sz val="11"/>
        <color theme="1"/>
        <rFont val="Calibri"/>
        <family val="2"/>
        <scheme val="minor"/>
      </rPr>
      <t>shall be identified and can be evaluated by repeating the previous steps.</t>
    </r>
  </si>
  <si>
    <r>
      <t xml:space="preserve">Key Questions: </t>
    </r>
    <r>
      <rPr>
        <b/>
        <i/>
        <sz val="12"/>
        <color rgb="FF2A4942"/>
        <rFont val="Calibri"/>
        <family val="2"/>
        <scheme val="minor"/>
      </rPr>
      <t xml:space="preserve">Which parts / components have highest priority to be disassembled? What are the required disassembly steps and tasks? </t>
    </r>
  </si>
  <si>
    <t>Maximum graspable component mass (g)</t>
  </si>
  <si>
    <r>
      <t xml:space="preserve">Key Questions: </t>
    </r>
    <r>
      <rPr>
        <b/>
        <i/>
        <sz val="12"/>
        <color rgb="FF2A4942"/>
        <rFont val="Calibri"/>
        <family val="2"/>
        <scheme val="minor"/>
      </rPr>
      <t>Is human–robot cooperative disassembly more time-efficient than manual disassembly? Which disassembly steps and tasks are feasible for robotic execution, and which factors have the greatest impact on the overall disassembly time?</t>
    </r>
  </si>
  <si>
    <r>
      <t>Manual Disassembly Time (M</t>
    </r>
    <r>
      <rPr>
        <b/>
        <vertAlign val="subscript"/>
        <sz val="14"/>
        <color theme="0"/>
        <rFont val="Calibri"/>
        <family val="2"/>
        <scheme val="minor"/>
      </rPr>
      <t>t</t>
    </r>
    <r>
      <rPr>
        <b/>
        <sz val="14"/>
        <color theme="0"/>
        <rFont val="Calibri"/>
        <family val="2"/>
        <scheme val="minor"/>
      </rPr>
      <t>)</t>
    </r>
  </si>
  <si>
    <r>
      <t>Robotic Disassembly Time (R</t>
    </r>
    <r>
      <rPr>
        <b/>
        <vertAlign val="subscript"/>
        <sz val="14"/>
        <color theme="0"/>
        <rFont val="Calibri"/>
        <family val="2"/>
        <scheme val="minor"/>
      </rPr>
      <t>t</t>
    </r>
    <r>
      <rPr>
        <b/>
        <sz val="14"/>
        <color theme="0"/>
        <rFont val="Calibri"/>
        <family val="2"/>
        <scheme val="minor"/>
      </rPr>
      <t>)</t>
    </r>
  </si>
  <si>
    <t>Human Robot Cooperation</t>
  </si>
  <si>
    <r>
      <rPr>
        <b/>
        <sz val="10"/>
        <color rgb="FFFF0000"/>
        <rFont val="Calibri"/>
        <family val="2"/>
        <scheme val="minor"/>
      </rPr>
      <t>Note: This prefilled Re-DiM example is provided for demonstration purposes only and is intended to guide users in the correct use of the tool.</t>
    </r>
    <r>
      <rPr>
        <b/>
        <sz val="10"/>
        <color rgb="FF2A4942"/>
        <rFont val="Calibri"/>
        <family val="2"/>
        <scheme val="minor"/>
      </rPr>
      <t xml:space="preserve">
Product description :</t>
    </r>
    <r>
      <rPr>
        <sz val="10"/>
        <color rgb="FF2A4942"/>
        <rFont val="Calibri"/>
        <family val="2"/>
        <scheme val="minor"/>
      </rPr>
      <t xml:space="preserve"> PC, Fan (Priority Part)</t>
    </r>
    <r>
      <rPr>
        <b/>
        <sz val="10"/>
        <color rgb="FF2A4942"/>
        <rFont val="Calibri"/>
        <family val="2"/>
        <scheme val="minor"/>
      </rPr>
      <t xml:space="preserve">
Starting Position :</t>
    </r>
    <r>
      <rPr>
        <sz val="10"/>
        <color rgb="FF2A4942"/>
        <rFont val="Calibri"/>
        <family val="2"/>
        <scheme val="minor"/>
      </rPr>
      <t xml:space="preserve"> Standard position, identical to the PC's position during use</t>
    </r>
  </si>
  <si>
    <t>Thread length = 8mm, D=4mm [4]</t>
  </si>
  <si>
    <r>
      <rPr>
        <b/>
        <sz val="11"/>
        <rFont val="Calibri"/>
        <family val="2"/>
        <scheme val="minor"/>
      </rPr>
      <t>1.2.</t>
    </r>
    <r>
      <rPr>
        <sz val="11"/>
        <rFont val="Calibri"/>
        <family val="2"/>
        <scheme val="minor"/>
      </rPr>
      <t xml:space="preserve"> </t>
    </r>
    <r>
      <rPr>
        <b/>
        <sz val="11"/>
        <rFont val="Calibri"/>
        <family val="2"/>
        <scheme val="minor"/>
      </rPr>
      <t>Perform disassembly</t>
    </r>
    <r>
      <rPr>
        <sz val="11"/>
        <rFont val="Calibri"/>
        <family val="2"/>
        <scheme val="minor"/>
      </rPr>
      <t xml:space="preserve"> of the priority parts manually or in CAD to understand the task complexity. </t>
    </r>
  </si>
  <si>
    <r>
      <rPr>
        <b/>
        <sz val="11"/>
        <rFont val="Calibri"/>
        <family val="2"/>
        <scheme val="minor"/>
      </rPr>
      <t>1.3.</t>
    </r>
    <r>
      <rPr>
        <sz val="11"/>
        <rFont val="Calibri"/>
        <family val="2"/>
        <scheme val="minor"/>
      </rPr>
      <t> Optional: Specify the robotic disassembly task parameters (e.g., movement distances, robot speed, maximum graspable mass, etc.) and available tools according to your system. A baseline robotic cell is proposed, it can be customized in the “Action Time” sheet.</t>
    </r>
  </si>
  <si>
    <r>
      <t xml:space="preserve">After completing the preparatory steps, the Re-DiM can be applied by filling the metric with all required information. </t>
    </r>
    <r>
      <rPr>
        <u/>
        <sz val="11"/>
        <rFont val="Calibri"/>
        <family val="2"/>
        <scheme val="minor"/>
      </rPr>
      <t>Each row</t>
    </r>
    <r>
      <rPr>
        <sz val="11"/>
        <rFont val="Calibri"/>
        <family val="2"/>
        <scheme val="minor"/>
      </rPr>
      <t xml:space="preserve"> within the Re-DiM sheet</t>
    </r>
    <r>
      <rPr>
        <u/>
        <sz val="11"/>
        <rFont val="Calibri"/>
        <family val="2"/>
        <scheme val="minor"/>
      </rPr>
      <t xml:space="preserve"> corresponds to a specific connector type</t>
    </r>
    <r>
      <rPr>
        <sz val="11"/>
        <rFont val="Calibri"/>
        <family val="2"/>
        <scheme val="minor"/>
      </rPr>
      <t xml:space="preserve"> that is disassembled within one disassembly step with the same tool positioning type and manipulation type. The sequence of connectors dictates the evaluated disassembly order. The required information can partially be filled in via dropdowns, otherwise written in the requested format.
</t>
    </r>
    <r>
      <rPr>
        <b/>
        <sz val="11"/>
        <color rgb="FFFF0000"/>
        <rFont val="Calibri"/>
        <family val="2"/>
        <scheme val="minor"/>
      </rPr>
      <t>Note:</t>
    </r>
    <r>
      <rPr>
        <sz val="11"/>
        <rFont val="Calibri"/>
        <family val="2"/>
        <scheme val="minor"/>
      </rPr>
      <t xml:space="preserve"> A prefilled example is provided in the "Re-DiM_Example_PC" and "Re-DiM_Example_Priority Part" sheets for demonstration purposes.</t>
    </r>
  </si>
  <si>
    <r>
      <rPr>
        <b/>
        <sz val="11"/>
        <rFont val="Calibri"/>
        <family val="2"/>
        <scheme val="minor"/>
      </rPr>
      <t>2.2.</t>
    </r>
    <r>
      <rPr>
        <sz val="11"/>
        <rFont val="Calibri"/>
        <family val="2"/>
        <scheme val="minor"/>
      </rPr>
      <t xml:space="preserve"> To analyse the disassembly of each </t>
    </r>
    <r>
      <rPr>
        <b/>
        <sz val="11"/>
        <rFont val="Calibri"/>
        <family val="2"/>
        <scheme val="minor"/>
      </rPr>
      <t>priority part (PP)</t>
    </r>
    <r>
      <rPr>
        <sz val="11"/>
        <rFont val="Calibri"/>
        <family val="2"/>
        <scheme val="minor"/>
      </rPr>
      <t xml:space="preserve"> in detail, copy the completed Re-DiM sheet for each prioriy part, rename the sheet accordingly to the PP and delete all rows that are not related to the disassembly of the respective prioriy part. 
</t>
    </r>
    <r>
      <rPr>
        <sz val="11"/>
        <color rgb="FFFF0000"/>
        <rFont val="Calibri"/>
        <family val="2"/>
        <scheme val="minor"/>
      </rPr>
      <t xml:space="preserve">
</t>
    </r>
    <r>
      <rPr>
        <b/>
        <sz val="11"/>
        <color rgb="FFFF0000"/>
        <rFont val="Calibri"/>
        <family val="2"/>
        <scheme val="minor"/>
      </rPr>
      <t>Note:</t>
    </r>
    <r>
      <rPr>
        <sz val="11"/>
        <rFont val="Calibri"/>
        <family val="2"/>
        <scheme val="minor"/>
      </rPr>
      <t xml:space="preserve"> To copy the Re-DiM sheet, right-click the sheet tab, select "Move or Copy…", check "Create a copy", and click "OK". When prompted whether to use the existing Connector_list, select </t>
    </r>
    <r>
      <rPr>
        <b/>
        <sz val="11"/>
        <rFont val="Calibri"/>
        <family val="2"/>
        <scheme val="minor"/>
      </rPr>
      <t>"Yes to All".</t>
    </r>
  </si>
  <si>
    <r>
      <t>Product description:</t>
    </r>
    <r>
      <rPr>
        <sz val="12"/>
        <color rgb="FF2A4942"/>
        <rFont val="Calibri"/>
        <family val="2"/>
        <scheme val="minor"/>
      </rPr>
      <t xml:space="preserve"> </t>
    </r>
    <r>
      <rPr>
        <b/>
        <sz val="12"/>
        <color rgb="FF2A4942"/>
        <rFont val="Calibri"/>
        <family val="2"/>
        <scheme val="minor"/>
      </rPr>
      <t xml:space="preserve">
Starting Position:</t>
    </r>
    <r>
      <rPr>
        <sz val="12"/>
        <color rgb="FF2A4942"/>
        <rFont val="Calibri"/>
        <family val="2"/>
        <scheme val="minor"/>
      </rPr>
      <t xml:space="preserve"> </t>
    </r>
  </si>
  <si>
    <r>
      <t>Assumption-1:</t>
    </r>
    <r>
      <rPr>
        <sz val="12"/>
        <color rgb="FF2A4942"/>
        <rFont val="Calibri"/>
        <family val="2"/>
        <scheme val="minor"/>
      </rPr>
      <t xml:space="preserve">
</t>
    </r>
    <r>
      <rPr>
        <b/>
        <sz val="12"/>
        <color rgb="FF2A4942"/>
        <rFont val="Calibri"/>
        <family val="2"/>
        <scheme val="minor"/>
      </rPr>
      <t xml:space="preserve"> Assumption-2:</t>
    </r>
  </si>
  <si>
    <r>
      <rPr>
        <b/>
        <sz val="12"/>
        <color rgb="FFFF0000"/>
        <rFont val="Calibri"/>
        <family val="2"/>
        <scheme val="minor"/>
      </rPr>
      <t>Note: This prefilled Re-DiM example is provided for demonstration purposes only and is intended to guide users in the correct use of the tool.</t>
    </r>
    <r>
      <rPr>
        <b/>
        <sz val="12"/>
        <color rgb="FF2A4942"/>
        <rFont val="Calibri"/>
        <family val="2"/>
        <scheme val="minor"/>
      </rPr>
      <t xml:space="preserve">
Product description:</t>
    </r>
    <r>
      <rPr>
        <sz val="12"/>
        <color rgb="FF2A4942"/>
        <rFont val="Calibri"/>
        <family val="2"/>
        <scheme val="minor"/>
      </rPr>
      <t xml:space="preserve"> PC</t>
    </r>
    <r>
      <rPr>
        <b/>
        <sz val="12"/>
        <color rgb="FF2A4942"/>
        <rFont val="Calibri"/>
        <family val="2"/>
        <scheme val="minor"/>
      </rPr>
      <t xml:space="preserve">
Starting Position:</t>
    </r>
    <r>
      <rPr>
        <sz val="12"/>
        <color rgb="FF2A4942"/>
        <rFont val="Calibri"/>
        <family val="2"/>
        <scheme val="minor"/>
      </rPr>
      <t xml:space="preserve"> Standard position, identical to the PC's position during use</t>
    </r>
  </si>
  <si>
    <r>
      <t xml:space="preserve">Assumption-1: </t>
    </r>
    <r>
      <rPr>
        <sz val="12"/>
        <color rgb="FF2A4942"/>
        <rFont val="Calibri"/>
        <family val="2"/>
        <scheme val="minor"/>
      </rPr>
      <t>Operator is aware of the disassembly sequence</t>
    </r>
  </si>
  <si>
    <t>[3] Vanegas Pena, P., Peeters, J., Cattrysse, D., Duflou, J., Tecchio, P., Mathieux, F., &amp; Ardente, F. (2016). Study for a method to assess the ease of disassembly of electrical and electronic equipment. Method development and application to a flat panel display case study.</t>
  </si>
  <si>
    <t>[4] Boix Rodríguez N, Pulikottil T (2023) Experimental tests at Re-and Demanufacturing Lab at KU Leuven</t>
  </si>
  <si>
    <r>
      <rPr>
        <b/>
        <sz val="11"/>
        <rFont val="Calibri"/>
        <family val="2"/>
        <scheme val="minor"/>
      </rPr>
      <t>3.1.</t>
    </r>
    <r>
      <rPr>
        <sz val="11"/>
        <rFont val="Calibri"/>
        <family val="2"/>
        <scheme val="minor"/>
      </rPr>
      <t xml:space="preserve"> Obtain the</t>
    </r>
    <r>
      <rPr>
        <b/>
        <sz val="11"/>
        <rFont val="Calibri"/>
        <family val="2"/>
        <scheme val="minor"/>
      </rPr>
      <t xml:space="preserve"> calculatd disassembly times</t>
    </r>
    <r>
      <rPr>
        <sz val="11"/>
        <rFont val="Calibri"/>
        <family val="2"/>
        <scheme val="minor"/>
      </rPr>
      <t xml:space="preserve"> for the whole product and for each priority part:
• Manual disassembly time (column V-AB)
• Robotic disassembly times (column AC-AI) 
• Human-Robot cooperation times (column AJ-AK)
• Total Human-Robot Cooperative disassembly time (on the bottom of the table - Row 30)
• Robotic ease of Disassembly metric (Re-DiM) time (on the bottom of the table - Row 32)
</t>
    </r>
    <r>
      <rPr>
        <b/>
        <sz val="11"/>
        <color rgb="FFFF0000"/>
        <rFont val="Calibri"/>
        <family val="2"/>
        <scheme val="minor"/>
      </rPr>
      <t>Note:</t>
    </r>
    <r>
      <rPr>
        <sz val="11"/>
        <rFont val="Calibri"/>
        <family val="2"/>
        <scheme val="minor"/>
      </rPr>
      <t xml:space="preserve"> Robotic disassembly times are divided by a cost factor (</t>
    </r>
    <r>
      <rPr>
        <i/>
        <sz val="11"/>
        <rFont val="Calibri"/>
        <family val="2"/>
        <scheme val="minor"/>
      </rPr>
      <t>n</t>
    </r>
    <r>
      <rPr>
        <sz val="11"/>
        <rFont val="Calibri"/>
        <family val="2"/>
        <scheme val="minor"/>
      </rPr>
      <t>) to account for the lower cost of robotic handling compared to human labor. The proposed cost factor of 2 assumes that robotic handling costs half as much as manual labor and can be adjusted in the "Action Time" sheet.</t>
    </r>
  </si>
  <si>
    <r>
      <rPr>
        <b/>
        <sz val="11"/>
        <rFont val="Calibri"/>
        <family val="2"/>
        <scheme val="minor"/>
      </rPr>
      <t>4.2.</t>
    </r>
    <r>
      <rPr>
        <sz val="11"/>
        <rFont val="Calibri"/>
        <family val="2"/>
        <scheme val="minor"/>
      </rPr>
      <t xml:space="preserve"> Quantify the product optimization strategies by </t>
    </r>
    <r>
      <rPr>
        <b/>
        <sz val="11"/>
        <rFont val="Calibri"/>
        <family val="2"/>
        <scheme val="minor"/>
      </rPr>
      <t>repeating the Re-DiM</t>
    </r>
    <r>
      <rPr>
        <sz val="11"/>
        <rFont val="Calibri"/>
        <family val="2"/>
        <scheme val="minor"/>
      </rPr>
      <t xml:space="preserve"> for the improved product design.</t>
    </r>
  </si>
  <si>
    <r>
      <rPr>
        <b/>
        <sz val="11"/>
        <rFont val="Calibri"/>
        <family val="2"/>
        <scheme val="minor"/>
      </rPr>
      <t>4.1.</t>
    </r>
    <r>
      <rPr>
        <sz val="11"/>
        <rFont val="Calibri"/>
        <family val="2"/>
        <scheme val="minor"/>
      </rPr>
      <t xml:space="preserve">  Establish </t>
    </r>
    <r>
      <rPr>
        <b/>
        <sz val="11"/>
        <rFont val="Calibri"/>
        <family val="2"/>
        <scheme val="minor"/>
      </rPr>
      <t>product optimization strategies</t>
    </r>
    <r>
      <rPr>
        <sz val="11"/>
        <rFont val="Calibri"/>
        <family val="2"/>
        <scheme val="minor"/>
      </rPr>
      <t xml:space="preserve"> for the product that facilitate robotic access to support time- and cost-efficient disassembly in a human-robot cooperative system.
</t>
    </r>
    <r>
      <rPr>
        <b/>
        <sz val="11"/>
        <color rgb="FFFF0000"/>
        <rFont val="Calibri"/>
        <family val="2"/>
        <scheme val="minor"/>
      </rPr>
      <t>Note:</t>
    </r>
    <r>
      <rPr>
        <sz val="11"/>
        <rFont val="Calibri"/>
        <family val="2"/>
        <scheme val="minor"/>
      </rPr>
      <t xml:space="preserve"> You can use the "Design for ReX Cards" available at </t>
    </r>
    <r>
      <rPr>
        <i/>
        <sz val="11"/>
        <rFont val="Calibri"/>
        <family val="2"/>
        <scheme val="minor"/>
      </rPr>
      <t>sude.be</t>
    </r>
  </si>
  <si>
    <r>
      <rPr>
        <b/>
        <sz val="11"/>
        <rFont val="Calibri"/>
        <family val="2"/>
        <scheme val="minor"/>
      </rPr>
      <t>1.1.</t>
    </r>
    <r>
      <rPr>
        <sz val="11"/>
        <rFont val="Calibri"/>
        <family val="2"/>
        <scheme val="minor"/>
      </rPr>
      <t xml:space="preserve"> Define </t>
    </r>
    <r>
      <rPr>
        <b/>
        <sz val="11"/>
        <rFont val="Calibri"/>
        <family val="2"/>
        <scheme val="minor"/>
      </rPr>
      <t>priority parts</t>
    </r>
    <r>
      <rPr>
        <sz val="11"/>
        <rFont val="Calibri"/>
        <family val="2"/>
        <scheme val="minor"/>
      </rPr>
      <t xml:space="preserve"> that are most relevant to be disassembled focusing on aspects, such as: 
• </t>
    </r>
    <r>
      <rPr>
        <u/>
        <sz val="11"/>
        <rFont val="Calibri"/>
        <family val="2"/>
        <scheme val="minor"/>
      </rPr>
      <t>Repair potential</t>
    </r>
    <r>
      <rPr>
        <sz val="11"/>
        <rFont val="Calibri"/>
        <family val="2"/>
        <scheme val="minor"/>
      </rPr>
      <t xml:space="preserve">: Likelihood that the part will need replacement. This can, for example, be defined based on failure rate statistics.
• </t>
    </r>
    <r>
      <rPr>
        <u/>
        <sz val="11"/>
        <rFont val="Calibri"/>
        <family val="2"/>
        <scheme val="minor"/>
      </rPr>
      <t>Reuse potential</t>
    </r>
    <r>
      <rPr>
        <sz val="11"/>
        <rFont val="Calibri"/>
        <family val="2"/>
        <scheme val="minor"/>
      </rPr>
      <t xml:space="preserve">: Likelihood that the part remains functional after the product end‑of‑(first-)life and is legally eligible for reuse and expected to have a reuse market.
• </t>
    </r>
    <r>
      <rPr>
        <u/>
        <sz val="11"/>
        <rFont val="Calibri"/>
        <family val="2"/>
        <scheme val="minor"/>
      </rPr>
      <t>Economic value</t>
    </r>
    <r>
      <rPr>
        <sz val="11"/>
        <rFont val="Calibri"/>
        <family val="2"/>
        <scheme val="minor"/>
      </rPr>
      <t xml:space="preserve">: As higher value components are more likely to be reused, the component cost expressed as a percentage of the total product cost can also be used as an indicator of the likelihood of disassembly.
• </t>
    </r>
    <r>
      <rPr>
        <u/>
        <sz val="11"/>
        <rFont val="Calibri"/>
        <family val="2"/>
        <scheme val="minor"/>
      </rPr>
      <t>Material criticality and recovery value</t>
    </r>
    <r>
      <rPr>
        <sz val="11"/>
        <rFont val="Calibri"/>
        <family val="2"/>
        <scheme val="minor"/>
      </rPr>
      <t>: Components containing materials of high value or materials that are likely to increase in value because of their limited access and/or economic importance are also more likely to be disassembled. Hence, also the expected economic value relative to the material value of the total product can be used to define the likelihood of disassembly.</t>
    </r>
  </si>
  <si>
    <r>
      <rPr>
        <b/>
        <sz val="11"/>
        <rFont val="Calibri"/>
        <family val="2"/>
        <scheme val="minor"/>
      </rPr>
      <t>2.1.</t>
    </r>
    <r>
      <rPr>
        <sz val="11"/>
        <rFont val="Calibri"/>
        <family val="2"/>
        <scheme val="minor"/>
      </rPr>
      <t xml:space="preserve"> Fill in the following </t>
    </r>
    <r>
      <rPr>
        <b/>
        <sz val="11"/>
        <rFont val="Calibri"/>
        <family val="2"/>
        <scheme val="minor"/>
      </rPr>
      <t>disassembly information</t>
    </r>
    <r>
      <rPr>
        <sz val="11"/>
        <rFont val="Calibri"/>
        <family val="2"/>
        <scheme val="minor"/>
      </rPr>
      <t xml:space="preserve"> row by row for the </t>
    </r>
    <r>
      <rPr>
        <b/>
        <sz val="11"/>
        <rFont val="Calibri"/>
        <family val="2"/>
        <scheme val="minor"/>
      </rPr>
      <t>whole disassembly</t>
    </r>
    <r>
      <rPr>
        <sz val="11"/>
        <rFont val="Calibri"/>
        <family val="2"/>
        <scheme val="minor"/>
      </rPr>
      <t xml:space="preserve"> of your product (add additional rows if needed):
• Product information (column A-F): connector ID, disassembling prerequisite, component name, connector name, connector type, and number of connectors of the same type
• Robotic disassembly criteria (column G-N): component connection, mass, dimensions, gripper compatibility, robotic handling feasibility
• Disassembly tasks (column O-U): connector visibility, connector removability, positioning, manipulation, and removal
</t>
    </r>
    <r>
      <rPr>
        <b/>
        <sz val="11"/>
        <color rgb="FFFF0000"/>
        <rFont val="Calibri"/>
        <family val="2"/>
        <scheme val="minor"/>
      </rPr>
      <t>Note:</t>
    </r>
    <r>
      <rPr>
        <sz val="11"/>
        <rFont val="Calibri"/>
        <family val="2"/>
        <scheme val="minor"/>
      </rPr>
      <t xml:space="preserve"> Find detailed information on the requested data for each column in the note attached to the column heading.
</t>
    </r>
    <r>
      <rPr>
        <b/>
        <sz val="11"/>
        <color rgb="FFFF0000"/>
        <rFont val="Calibri"/>
        <family val="2"/>
        <scheme val="minor"/>
      </rPr>
      <t>Note:</t>
    </r>
    <r>
      <rPr>
        <sz val="11"/>
        <color rgb="FFFF0000"/>
        <rFont val="Calibri"/>
        <family val="2"/>
        <scheme val="minor"/>
      </rPr>
      <t xml:space="preserve"> </t>
    </r>
    <r>
      <rPr>
        <sz val="11"/>
        <rFont val="Calibri"/>
        <family val="2"/>
        <scheme val="minor"/>
      </rPr>
      <t>Additional connector types can be added to the list in the "Connectors List" sheet by providing at least the connector name and the manual disassembly time (s) calculated using MOST. Additional positioning types, manipulation types, or component removal types can be added to the corresponding lists in the "Action Time" sheet by providing the action name and the time (s) calculated using MOST.</t>
    </r>
  </si>
  <si>
    <r>
      <rPr>
        <b/>
        <sz val="11"/>
        <rFont val="Calibri"/>
        <family val="2"/>
        <scheme val="minor"/>
      </rPr>
      <t>3.2.</t>
    </r>
    <r>
      <rPr>
        <sz val="11"/>
        <rFont val="Calibri"/>
        <family val="2"/>
        <scheme val="minor"/>
      </rPr>
      <t xml:space="preserve">  Analyse and identify </t>
    </r>
    <r>
      <rPr>
        <b/>
        <sz val="11"/>
        <rFont val="Calibri"/>
        <family val="2"/>
        <scheme val="minor"/>
      </rPr>
      <t>critical insights</t>
    </r>
    <r>
      <rPr>
        <sz val="11"/>
        <rFont val="Calibri"/>
        <family val="2"/>
        <scheme val="minor"/>
      </rPr>
      <t>:
• Critical disassembly issues, you recognized during the assessment (qualitative)
• Components / disassembly steps (rows) that take longest to disassemble are highlighted (quantitative)
• Disassembly tasks, that takes longest per component / disassembly step in column V-AA &amp; AC-AH (quantitative)
• Disassembly steps that are not robotically feasible in column N (quantitative)</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</si>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</sst>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0" x14ac:knownFonts="1">
    <font>
      <sz val="11"/>
      <color theme="1"/>
      <name val="Calibri"/>
      <family val="2"/>
      <scheme val="minor"/>
    </font>
    <font>
      <b/>
      <sz val="11"/>
      <color indexed="8"/>
      <name val="Calibri"/>
      <family val="2"/>
    </font>
    <font>
      <sz val="8"/>
      <name val="Calibri"/>
      <family val="2"/>
      <scheme val="minor"/>
    </font>
    <font>
      <b/>
      <sz val="11"/>
      <color theme="1"/>
      <name val="Calibri"/>
      <family val="2"/>
      <scheme val="minor"/>
    </font>
    <font>
      <b/>
      <sz val="11"/>
      <name val="Calibri"/>
      <family val="2"/>
      <scheme val="minor"/>
    </font>
    <font>
      <sz val="11"/>
      <name val="Calibri"/>
      <family val="2"/>
      <scheme val="minor"/>
    </font>
    <font>
      <sz val="10"/>
      <name val="Calibri"/>
      <family val="2"/>
      <scheme val="minor"/>
    </font>
    <font>
      <b/>
      <sz val="10"/>
      <name val="Calibri"/>
      <family val="2"/>
      <scheme val="minor"/>
    </font>
    <font>
      <sz val="10"/>
      <color theme="1"/>
      <name val="Calibri"/>
      <family val="2"/>
      <scheme val="minor"/>
    </font>
    <font>
      <sz val="11"/>
      <color rgb="FF9C5700"/>
      <name val="Calibri"/>
      <family val="2"/>
      <scheme val="minor"/>
    </font>
    <font>
      <u/>
      <sz val="11"/>
      <color theme="10"/>
      <name val="Calibri"/>
      <family val="2"/>
      <scheme val="minor"/>
    </font>
    <font>
      <sz val="11"/>
      <color theme="4" tint="-0.249977111117893"/>
      <name val="Calibri"/>
      <family val="2"/>
      <scheme val="minor"/>
    </font>
    <font>
      <b/>
      <sz val="11"/>
      <color theme="4" tint="-0.249977111117893"/>
      <name val="Calibri"/>
      <family val="2"/>
      <scheme val="minor"/>
    </font>
    <font>
      <b/>
      <sz val="14"/>
      <color rgb="FF2A4942"/>
      <name val="Calibri"/>
      <family val="2"/>
      <scheme val="minor"/>
    </font>
    <font>
      <b/>
      <sz val="11"/>
      <color rgb="FF2A4942"/>
      <name val="Calibri"/>
      <family val="2"/>
      <scheme val="minor"/>
    </font>
    <font>
      <sz val="9"/>
      <color indexed="81"/>
      <name val="Tahoma"/>
      <family val="2"/>
    </font>
    <font>
      <b/>
      <sz val="9"/>
      <color indexed="81"/>
      <name val="Tahoma"/>
      <family val="2"/>
    </font>
    <font>
      <b/>
      <sz val="14"/>
      <color rgb="FF29D872"/>
      <name val="Calibri"/>
      <family val="2"/>
      <scheme val="minor"/>
    </font>
    <font>
      <b/>
      <sz val="16"/>
      <color rgb="FF29D872"/>
      <name val="Calibri"/>
      <family val="2"/>
      <scheme val="minor"/>
    </font>
    <font>
      <b/>
      <sz val="10"/>
      <color rgb="FF2A4942"/>
      <name val="Calibri"/>
      <family val="2"/>
      <scheme val="minor"/>
    </font>
    <font>
      <sz val="10"/>
      <color rgb="FF2A4942"/>
      <name val="Calibri"/>
      <family val="2"/>
      <scheme val="minor"/>
    </font>
    <font>
      <b/>
      <vertAlign val="subscript"/>
      <sz val="10"/>
      <color rgb="FF2A4942"/>
      <name val="Calibri"/>
      <family val="2"/>
      <scheme val="minor"/>
    </font>
    <font>
      <b/>
      <sz val="24"/>
      <color theme="0"/>
      <name val="Calibri"/>
      <family val="2"/>
      <scheme val="minor"/>
    </font>
    <font>
      <sz val="10"/>
      <color rgb="FFECEBE7"/>
      <name val="Calibri"/>
      <family val="2"/>
      <scheme val="minor"/>
    </font>
    <font>
      <b/>
      <sz val="12"/>
      <color rgb="FF2A4942"/>
      <name val="Calibri"/>
      <family val="2"/>
      <scheme val="minor"/>
    </font>
    <font>
      <b/>
      <i/>
      <sz val="12"/>
      <color rgb="FF2A4942"/>
      <name val="Calibri"/>
      <family val="2"/>
      <scheme val="minor"/>
    </font>
    <font>
      <b/>
      <sz val="16"/>
      <color theme="0"/>
      <name val="Calibri"/>
      <family val="2"/>
      <scheme val="minor"/>
    </font>
    <font>
      <sz val="9"/>
      <color indexed="81"/>
      <name val="Tahoma"/>
      <charset val="1"/>
    </font>
    <font>
      <b/>
      <sz val="9"/>
      <color indexed="81"/>
      <name val="Tahoma"/>
      <charset val="1"/>
    </font>
    <font>
      <b/>
      <sz val="14"/>
      <name val="Calibri"/>
      <family val="2"/>
      <scheme val="minor"/>
    </font>
    <font>
      <sz val="11"/>
      <color rgb="FFFF0000"/>
      <name val="Calibri"/>
      <family val="2"/>
      <scheme val="minor"/>
    </font>
    <font>
      <b/>
      <sz val="11"/>
      <color rgb="FFFF0000"/>
      <name val="Calibri"/>
      <family val="2"/>
      <scheme val="minor"/>
    </font>
    <font>
      <b/>
      <sz val="10"/>
      <color rgb="FFFF0000"/>
      <name val="Calibri"/>
      <family val="2"/>
      <scheme val="minor"/>
    </font>
    <font>
      <b/>
      <sz val="14"/>
      <color theme="0"/>
      <name val="Calibri"/>
      <family val="2"/>
      <scheme val="minor"/>
    </font>
    <font>
      <b/>
      <vertAlign val="subscript"/>
      <sz val="14"/>
      <color theme="0"/>
      <name val="Calibri"/>
      <family val="2"/>
      <scheme val="minor"/>
    </font>
    <font>
      <sz val="10"/>
      <color theme="0"/>
      <name val="Calibri"/>
      <family val="2"/>
      <scheme val="minor"/>
    </font>
    <font>
      <u/>
      <sz val="11"/>
      <name val="Calibri"/>
      <family val="2"/>
      <scheme val="minor"/>
    </font>
    <font>
      <sz val="12"/>
      <color rgb="FF2A4942"/>
      <name val="Calibri"/>
      <family val="2"/>
      <scheme val="minor"/>
    </font>
    <font>
      <b/>
      <sz val="12"/>
      <color rgb="FFFF0000"/>
      <name val="Calibri"/>
      <family val="2"/>
      <scheme val="minor"/>
    </font>
    <font>
      <i/>
      <sz val="11"/>
      <name val="Calibri"/>
      <family val="2"/>
      <scheme val="minor"/>
    </font>
  </fonts>
  <fills count="9">
    <fill>
      <patternFill patternType="none"/>
    </fill>
    <fill>
      <patternFill patternType="gray125"/>
    </fill>
    <fill>
      <patternFill patternType="solid">
        <fgColor rgb="FFFFEB9C"/>
      </patternFill>
    </fill>
    <fill>
      <patternFill patternType="solid">
        <fgColor rgb="FFF9F8F4"/>
        <bgColor indexed="64"/>
      </patternFill>
    </fill>
    <fill>
      <patternFill patternType="solid">
        <fgColor rgb="FF2A4942"/>
        <bgColor indexed="64"/>
      </patternFill>
    </fill>
    <fill>
      <patternFill patternType="solid">
        <fgColor rgb="FFD4F7E3"/>
        <bgColor indexed="64"/>
      </patternFill>
    </fill>
    <fill>
      <patternFill patternType="solid">
        <fgColor rgb="FFECEBE7"/>
        <bgColor indexed="64"/>
      </patternFill>
    </fill>
    <fill>
      <patternFill patternType="solid">
        <fgColor rgb="FF05271F"/>
        <bgColor indexed="64"/>
      </patternFill>
    </fill>
    <fill>
      <patternFill patternType="solid">
        <fgColor rgb="FF54E08E"/>
        <bgColor indexed="64"/>
      </patternFill>
    </fill>
  </fills>
  <borders count="21">
    <border>
      <left/>
      <right/>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2A4942"/>
      </left>
      <right style="thin">
        <color rgb="FF2A4942"/>
      </right>
      <top style="thin">
        <color rgb="FF2A4942"/>
      </top>
      <bottom style="thin">
        <color rgb="FF2A4942"/>
      </bottom>
      <diagonal/>
    </border>
    <border>
      <left style="thin">
        <color rgb="FF2A4942"/>
      </left>
      <right/>
      <top style="thin">
        <color rgb="FF2A4942"/>
      </top>
      <bottom style="thin">
        <color rgb="FF2A4942"/>
      </bottom>
      <diagonal/>
    </border>
    <border>
      <left/>
      <right style="thin">
        <color rgb="FF2A4942"/>
      </right>
      <top style="thin">
        <color rgb="FF2A4942"/>
      </top>
      <bottom style="thin">
        <color rgb="FF2A4942"/>
      </bottom>
      <diagonal/>
    </border>
    <border>
      <left style="thin">
        <color rgb="FF2A4942"/>
      </left>
      <right style="thin">
        <color rgb="FF2A4942"/>
      </right>
      <top style="thin">
        <color rgb="FF2A4942"/>
      </top>
      <bottom/>
      <diagonal/>
    </border>
    <border>
      <left style="thin">
        <color rgb="FF2A4942"/>
      </left>
      <right style="thin">
        <color rgb="FF2A4942"/>
      </right>
      <top/>
      <bottom style="thin">
        <color rgb="FF2A4942"/>
      </bottom>
      <diagonal/>
    </border>
    <border>
      <left style="medium">
        <color theme="0"/>
      </left>
      <right style="thin">
        <color rgb="FF2A4942"/>
      </right>
      <top style="medium">
        <color theme="0"/>
      </top>
      <bottom style="medium">
        <color theme="0"/>
      </bottom>
      <diagonal/>
    </border>
    <border>
      <left style="thin">
        <color rgb="FF2A4942"/>
      </left>
      <right style="thin">
        <color rgb="FF2A4942"/>
      </right>
      <top style="medium">
        <color theme="0"/>
      </top>
      <bottom style="medium">
        <color theme="0"/>
      </bottom>
      <diagonal/>
    </border>
    <border>
      <left style="thin">
        <color rgb="FF2A4942"/>
      </left>
      <right style="medium">
        <color theme="0"/>
      </right>
      <top style="medium">
        <color theme="0"/>
      </top>
      <bottom style="medium">
        <color theme="0"/>
      </bottom>
      <diagonal/>
    </border>
    <border>
      <left style="thin">
        <color rgb="FF2A4942"/>
      </left>
      <right/>
      <top style="medium">
        <color theme="0"/>
      </top>
      <bottom style="medium">
        <color theme="0"/>
      </bottom>
      <diagonal/>
    </border>
    <border>
      <left/>
      <right style="thin">
        <color rgb="FF2A4942"/>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thin">
        <color rgb="FF2A4942"/>
      </left>
      <right style="thin">
        <color rgb="FF2A4942"/>
      </right>
      <top/>
      <bottom/>
      <diagonal/>
    </border>
  </borders>
  <cellStyleXfs count="4">
    <xf numFmtId="0" fontId="0" fillId="0" borderId="0"/>
    <xf numFmtId="0" fontId="1" fillId="0" borderId="1" applyNumberFormat="0" applyFill="0" applyAlignment="0" applyProtection="0"/>
    <xf numFmtId="0" fontId="9" fillId="2" borderId="0" applyNumberFormat="0" applyBorder="0" applyAlignment="0" applyProtection="0"/>
    <xf numFmtId="0" fontId="10" fillId="0" borderId="0" applyNumberFormat="0" applyFill="0" applyBorder="0" applyAlignment="0" applyProtection="0"/>
  </cellStyleXfs>
  <cellXfs count="128">
    <xf numFmtId="0" fontId="0" fillId="0" borderId="0" xfId="0"/>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4" xfId="0" applyFont="1" applyBorder="1" applyAlignment="1">
      <alignment horizontal="center" wrapText="1"/>
    </xf>
    <xf numFmtId="0" fontId="8" fillId="0" borderId="0" xfId="0" applyFont="1"/>
    <xf numFmtId="0" fontId="8" fillId="0" borderId="0" xfId="0" applyFont="1" applyAlignment="1">
      <alignment horizontal="center"/>
    </xf>
    <xf numFmtId="0" fontId="8" fillId="0" borderId="0" xfId="0" applyFont="1" applyAlignment="1">
      <alignment horizontal="center" vertical="center"/>
    </xf>
    <xf numFmtId="164" fontId="8" fillId="0" borderId="0" xfId="0" applyNumberFormat="1" applyFont="1"/>
    <xf numFmtId="49" fontId="8" fillId="0" borderId="0" xfId="0" applyNumberFormat="1" applyFont="1" applyAlignment="1">
      <alignment horizontal="center" vertical="center"/>
    </xf>
    <xf numFmtId="0" fontId="0" fillId="0" borderId="0" xfId="0" applyAlignment="1">
      <alignment horizontal="center"/>
    </xf>
    <xf numFmtId="1" fontId="8" fillId="0" borderId="0" xfId="0" applyNumberFormat="1" applyFont="1"/>
    <xf numFmtId="0" fontId="3" fillId="0" borderId="0" xfId="0" applyFont="1" applyAlignment="1">
      <alignment horizontal="left" vertical="center" wrapText="1"/>
    </xf>
    <xf numFmtId="0" fontId="0" fillId="0" borderId="0" xfId="0" applyAlignment="1">
      <alignment wrapText="1"/>
    </xf>
    <xf numFmtId="0" fontId="5" fillId="0" borderId="5" xfId="3" applyFont="1" applyFill="1" applyBorder="1"/>
    <xf numFmtId="0" fontId="0" fillId="0" borderId="5" xfId="0" applyFill="1" applyBorder="1" applyAlignment="1">
      <alignment horizontal="center"/>
    </xf>
    <xf numFmtId="2" fontId="5" fillId="0" borderId="5" xfId="0" applyNumberFormat="1" applyFont="1" applyFill="1" applyBorder="1" applyAlignment="1">
      <alignment horizontal="center"/>
    </xf>
    <xf numFmtId="1" fontId="5" fillId="0" borderId="5" xfId="0" applyNumberFormat="1" applyFont="1" applyFill="1" applyBorder="1" applyAlignment="1">
      <alignment horizontal="center"/>
    </xf>
    <xf numFmtId="0" fontId="11" fillId="0" borderId="5" xfId="0" applyFont="1" applyFill="1" applyBorder="1"/>
    <xf numFmtId="0" fontId="0" fillId="0" borderId="5" xfId="0" applyFill="1" applyBorder="1"/>
    <xf numFmtId="0" fontId="0" fillId="0" borderId="0" xfId="0" applyFill="1"/>
    <xf numFmtId="0" fontId="0" fillId="0" borderId="5" xfId="0" applyFill="1" applyBorder="1" applyAlignment="1">
      <alignment horizontal="left"/>
    </xf>
    <xf numFmtId="2" fontId="5" fillId="0" borderId="6" xfId="0" applyNumberFormat="1" applyFont="1" applyFill="1" applyBorder="1" applyAlignment="1">
      <alignment horizontal="center"/>
    </xf>
    <xf numFmtId="1" fontId="5" fillId="0" borderId="6" xfId="0" applyNumberFormat="1" applyFont="1" applyFill="1" applyBorder="1" applyAlignment="1">
      <alignment horizontal="center"/>
    </xf>
    <xf numFmtId="0" fontId="0" fillId="0" borderId="6" xfId="0" applyFill="1" applyBorder="1"/>
    <xf numFmtId="0" fontId="0" fillId="0" borderId="6" xfId="0" applyFill="1" applyBorder="1" applyAlignment="1">
      <alignment horizontal="center"/>
    </xf>
    <xf numFmtId="0" fontId="11" fillId="0" borderId="5" xfId="3" applyFont="1" applyFill="1" applyBorder="1" applyAlignment="1">
      <alignment wrapText="1"/>
    </xf>
    <xf numFmtId="0" fontId="11" fillId="0" borderId="5" xfId="3" applyFont="1" applyFill="1" applyBorder="1"/>
    <xf numFmtId="2" fontId="10" fillId="0" borderId="6" xfId="3" applyNumberFormat="1" applyFill="1" applyBorder="1" applyAlignment="1">
      <alignment horizontal="center"/>
    </xf>
    <xf numFmtId="0" fontId="5" fillId="0" borderId="5" xfId="2" applyFont="1" applyFill="1" applyBorder="1" applyAlignment="1">
      <alignment horizontal="left"/>
    </xf>
    <xf numFmtId="2" fontId="5" fillId="0" borderId="5" xfId="0" applyNumberFormat="1" applyFont="1" applyFill="1" applyBorder="1" applyAlignment="1">
      <alignment horizontal="center" vertical="center"/>
    </xf>
    <xf numFmtId="0" fontId="10" fillId="0" borderId="6" xfId="3" applyFill="1" applyBorder="1"/>
    <xf numFmtId="1" fontId="4" fillId="0" borderId="5" xfId="0" applyNumberFormat="1" applyFont="1" applyFill="1" applyBorder="1" applyAlignment="1">
      <alignment horizontal="center"/>
    </xf>
    <xf numFmtId="0" fontId="0" fillId="0" borderId="5" xfId="0" applyFill="1" applyBorder="1" applyAlignment="1">
      <alignment wrapText="1"/>
    </xf>
    <xf numFmtId="2" fontId="12" fillId="0" borderId="5" xfId="0" applyNumberFormat="1" applyFont="1" applyFill="1" applyBorder="1" applyAlignment="1">
      <alignment horizontal="center"/>
    </xf>
    <xf numFmtId="2" fontId="4" fillId="0" borderId="5" xfId="0" applyNumberFormat="1" applyFont="1" applyFill="1" applyBorder="1" applyAlignment="1">
      <alignment horizontal="center"/>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0" fillId="0" borderId="0" xfId="0" applyFill="1" applyAlignment="1">
      <alignment horizontal="center"/>
    </xf>
    <xf numFmtId="0" fontId="19" fillId="6" borderId="7"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0" fillId="5" borderId="7" xfId="0" applyFont="1" applyFill="1" applyBorder="1" applyAlignment="1">
      <alignment horizontal="center" vertical="center"/>
    </xf>
    <xf numFmtId="164" fontId="20" fillId="5" borderId="7" xfId="0" applyNumberFormat="1" applyFont="1" applyFill="1" applyBorder="1" applyAlignment="1">
      <alignment horizontal="center" vertical="center"/>
    </xf>
    <xf numFmtId="1" fontId="20" fillId="5" borderId="7" xfId="0" applyNumberFormat="1" applyFont="1" applyFill="1" applyBorder="1" applyAlignment="1">
      <alignment horizontal="center" vertical="center"/>
    </xf>
    <xf numFmtId="1" fontId="19" fillId="5" borderId="7" xfId="0" applyNumberFormat="1" applyFont="1" applyFill="1" applyBorder="1" applyAlignment="1">
      <alignment horizontal="center" vertical="center"/>
    </xf>
    <xf numFmtId="1" fontId="17" fillId="5" borderId="7" xfId="0" applyNumberFormat="1" applyFont="1" applyFill="1" applyBorder="1" applyAlignment="1">
      <alignment horizontal="center" vertical="center"/>
    </xf>
    <xf numFmtId="0" fontId="8" fillId="0" borderId="0" xfId="0" applyFont="1" applyBorder="1" applyAlignment="1">
      <alignment horizontal="center" vertical="center"/>
    </xf>
    <xf numFmtId="49" fontId="8" fillId="0" borderId="0" xfId="0" applyNumberFormat="1" applyFont="1" applyBorder="1" applyAlignment="1">
      <alignment horizontal="center" vertical="center"/>
    </xf>
    <xf numFmtId="0" fontId="8" fillId="0" borderId="0" xfId="0" applyFont="1" applyBorder="1" applyAlignment="1">
      <alignment horizontal="center"/>
    </xf>
    <xf numFmtId="0" fontId="8" fillId="0" borderId="0" xfId="0" applyFont="1" applyBorder="1"/>
    <xf numFmtId="164" fontId="8" fillId="0" borderId="0" xfId="0" applyNumberFormat="1" applyFont="1" applyBorder="1"/>
    <xf numFmtId="0" fontId="7" fillId="0" borderId="0" xfId="0" quotePrefix="1" applyFont="1" applyBorder="1" applyAlignment="1">
      <alignment vertical="center" wrapText="1"/>
    </xf>
    <xf numFmtId="0" fontId="0" fillId="6" borderId="0" xfId="0" applyFill="1" applyAlignment="1">
      <alignment wrapText="1"/>
    </xf>
    <xf numFmtId="0" fontId="23" fillId="0" borderId="7" xfId="0" applyFont="1" applyBorder="1" applyAlignment="1">
      <alignment horizontal="center" wrapText="1"/>
    </xf>
    <xf numFmtId="0" fontId="23" fillId="0" borderId="7" xfId="0" applyFont="1" applyBorder="1" applyAlignment="1">
      <alignment horizontal="center"/>
    </xf>
    <xf numFmtId="0" fontId="23" fillId="0" borderId="7" xfId="0" applyFont="1" applyBorder="1" applyAlignment="1">
      <alignment horizontal="center" vertical="top" wrapText="1"/>
    </xf>
    <xf numFmtId="0" fontId="23" fillId="0" borderId="7" xfId="0" applyFont="1" applyBorder="1" applyAlignment="1">
      <alignment horizontal="left"/>
    </xf>
    <xf numFmtId="0" fontId="23" fillId="0" borderId="7" xfId="0" applyFont="1" applyBorder="1"/>
    <xf numFmtId="0" fontId="5" fillId="6" borderId="0" xfId="0" applyFont="1" applyFill="1" applyAlignment="1">
      <alignment wrapText="1"/>
    </xf>
    <xf numFmtId="0" fontId="5" fillId="3" borderId="0" xfId="0" applyFont="1" applyFill="1" applyAlignment="1">
      <alignment wrapText="1"/>
    </xf>
    <xf numFmtId="0" fontId="0" fillId="0" borderId="0" xfId="0" applyBorder="1" applyAlignment="1">
      <alignment vertical="center" wrapText="1"/>
    </xf>
    <xf numFmtId="0" fontId="0" fillId="0" borderId="0" xfId="0" applyBorder="1" applyAlignment="1">
      <alignment wrapText="1"/>
    </xf>
    <xf numFmtId="0" fontId="22" fillId="7" borderId="0" xfId="0" applyFont="1" applyFill="1" applyAlignment="1">
      <alignment vertical="center" wrapText="1"/>
    </xf>
    <xf numFmtId="0" fontId="24" fillId="8" borderId="0" xfId="0" applyFont="1" applyFill="1" applyAlignment="1">
      <alignment vertical="center" wrapText="1"/>
    </xf>
    <xf numFmtId="0" fontId="26" fillId="4" borderId="0" xfId="0" applyFont="1" applyFill="1" applyAlignment="1">
      <alignment vertical="center" wrapText="1"/>
    </xf>
    <xf numFmtId="0" fontId="5" fillId="0" borderId="0" xfId="0" applyFont="1" applyFill="1"/>
    <xf numFmtId="0" fontId="4" fillId="0" borderId="0" xfId="0" applyFont="1" applyFill="1"/>
    <xf numFmtId="0" fontId="6" fillId="3" borderId="7" xfId="0"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3" borderId="7" xfId="0" applyFont="1" applyFill="1" applyBorder="1"/>
    <xf numFmtId="0" fontId="6" fillId="8" borderId="7"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35" fillId="4" borderId="0" xfId="0" applyFont="1" applyFill="1"/>
    <xf numFmtId="0" fontId="3" fillId="0" borderId="0" xfId="0" applyFont="1" applyFill="1" applyBorder="1" applyAlignment="1">
      <alignment horizontal="center" vertical="top" wrapText="1"/>
    </xf>
    <xf numFmtId="0" fontId="0" fillId="0" borderId="0" xfId="0" applyAlignment="1">
      <alignment vertical="top" wrapText="1"/>
    </xf>
    <xf numFmtId="0" fontId="0" fillId="0" borderId="0" xfId="0" applyFill="1" applyBorder="1" applyAlignment="1">
      <alignment horizontal="left" vertical="top" wrapText="1"/>
    </xf>
    <xf numFmtId="0" fontId="0" fillId="0" borderId="0" xfId="0" applyFill="1" applyBorder="1" applyAlignment="1">
      <alignment horizontal="center" vertical="top" wrapText="1"/>
    </xf>
    <xf numFmtId="2" fontId="4" fillId="0" borderId="0" xfId="0" applyNumberFormat="1" applyFont="1" applyFill="1" applyBorder="1" applyAlignment="1">
      <alignment horizontal="center" vertical="top" wrapText="1"/>
    </xf>
    <xf numFmtId="0" fontId="0" fillId="0" borderId="0" xfId="0" applyFill="1" applyBorder="1" applyAlignment="1">
      <alignment vertical="top" wrapText="1"/>
    </xf>
    <xf numFmtId="0" fontId="0" fillId="0" borderId="0" xfId="0" applyFill="1" applyAlignment="1">
      <alignment vertical="top" wrapText="1"/>
    </xf>
    <xf numFmtId="0" fontId="0" fillId="0" borderId="0" xfId="0" applyFill="1" applyAlignment="1">
      <alignment horizontal="center" vertical="top" wrapText="1"/>
    </xf>
    <xf numFmtId="0" fontId="0" fillId="0" borderId="0" xfId="0" applyFill="1" applyAlignment="1">
      <alignment horizontal="left" vertical="top" wrapText="1"/>
    </xf>
    <xf numFmtId="0" fontId="4" fillId="0" borderId="0" xfId="0" applyFont="1" applyFill="1" applyAlignment="1">
      <alignment vertical="top"/>
    </xf>
    <xf numFmtId="0" fontId="5" fillId="0" borderId="0" xfId="0" applyFont="1" applyFill="1" applyAlignment="1">
      <alignment vertical="top"/>
    </xf>
    <xf numFmtId="0" fontId="8" fillId="0" borderId="0" xfId="0" applyFont="1" applyFill="1"/>
    <xf numFmtId="0" fontId="35" fillId="0" borderId="0" xfId="0" applyFont="1" applyFill="1"/>
    <xf numFmtId="0" fontId="5" fillId="0" borderId="0" xfId="0" applyFont="1"/>
    <xf numFmtId="0" fontId="5" fillId="0" borderId="0" xfId="0" applyFont="1" applyAlignment="1">
      <alignment vertical="top"/>
    </xf>
    <xf numFmtId="0" fontId="19" fillId="6" borderId="11"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33" fillId="4" borderId="12" xfId="0" applyFont="1" applyFill="1" applyBorder="1" applyAlignment="1">
      <alignment horizontal="center" vertical="center"/>
    </xf>
    <xf numFmtId="0" fontId="33" fillId="4" borderId="13" xfId="0" applyFont="1" applyFill="1" applyBorder="1" applyAlignment="1">
      <alignment horizontal="center" vertical="center"/>
    </xf>
    <xf numFmtId="0" fontId="33" fillId="4" borderId="15" xfId="0" applyFont="1" applyFill="1" applyBorder="1" applyAlignment="1">
      <alignment horizontal="center" vertical="center"/>
    </xf>
    <xf numFmtId="49" fontId="19" fillId="3" borderId="11" xfId="0" applyNumberFormat="1"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0" fontId="19" fillId="6" borderId="10" xfId="0" applyFont="1" applyFill="1" applyBorder="1" applyAlignment="1">
      <alignment horizontal="center" vertical="center" wrapText="1"/>
    </xf>
    <xf numFmtId="0" fontId="33" fillId="4" borderId="18" xfId="0" applyFont="1" applyFill="1" applyBorder="1" applyAlignment="1">
      <alignment horizontal="center" vertical="center"/>
    </xf>
    <xf numFmtId="0" fontId="33" fillId="4" borderId="17" xfId="0" applyFont="1" applyFill="1" applyBorder="1" applyAlignment="1">
      <alignment horizontal="center" vertical="center"/>
    </xf>
    <xf numFmtId="0" fontId="33" fillId="4" borderId="19" xfId="0" applyFont="1" applyFill="1" applyBorder="1" applyAlignment="1">
      <alignment horizontal="center" vertical="center"/>
    </xf>
    <xf numFmtId="0" fontId="13" fillId="5" borderId="7" xfId="0" applyFont="1" applyFill="1" applyBorder="1" applyAlignment="1">
      <alignment horizontal="right" vertical="center"/>
    </xf>
    <xf numFmtId="0" fontId="14" fillId="5" borderId="7" xfId="0" applyFont="1" applyFill="1" applyBorder="1" applyAlignment="1">
      <alignment horizontal="center" vertical="center" wrapText="1"/>
    </xf>
    <xf numFmtId="1" fontId="18" fillId="5" borderId="7" xfId="0" applyNumberFormat="1" applyFont="1" applyFill="1" applyBorder="1" applyAlignment="1">
      <alignment horizontal="center" vertical="center"/>
    </xf>
    <xf numFmtId="0" fontId="24" fillId="8" borderId="7" xfId="0" applyFont="1" applyFill="1" applyBorder="1" applyAlignment="1">
      <alignment horizontal="left" vertical="center" wrapText="1"/>
    </xf>
    <xf numFmtId="0" fontId="19" fillId="3" borderId="11" xfId="0" applyFont="1" applyFill="1" applyBorder="1" applyAlignment="1">
      <alignment horizontal="center" vertical="center"/>
    </xf>
    <xf numFmtId="0" fontId="19" fillId="3" borderId="7" xfId="0" applyFont="1" applyFill="1" applyBorder="1" applyAlignment="1">
      <alignment horizontal="center" vertical="center"/>
    </xf>
    <xf numFmtId="0" fontId="7" fillId="0" borderId="7" xfId="0" quotePrefix="1" applyFont="1" applyBorder="1" applyAlignment="1">
      <alignment horizontal="center" vertical="center" wrapText="1"/>
    </xf>
    <xf numFmtId="0" fontId="7" fillId="0" borderId="8" xfId="0" quotePrefix="1" applyFont="1" applyBorder="1" applyAlignment="1">
      <alignment horizontal="center" vertical="center" wrapText="1"/>
    </xf>
    <xf numFmtId="0" fontId="19" fillId="5" borderId="11" xfId="0" applyFont="1" applyFill="1" applyBorder="1" applyAlignment="1">
      <alignment horizontal="center" vertical="center" textRotation="90"/>
    </xf>
    <xf numFmtId="0" fontId="19" fillId="5" borderId="7" xfId="0" applyFont="1" applyFill="1" applyBorder="1" applyAlignment="1">
      <alignment horizontal="center" vertical="center" textRotation="90"/>
    </xf>
    <xf numFmtId="0" fontId="19" fillId="5" borderId="11" xfId="0" applyFont="1" applyFill="1" applyBorder="1" applyAlignment="1">
      <alignment horizontal="center" vertical="center"/>
    </xf>
    <xf numFmtId="0" fontId="19" fillId="5" borderId="7" xfId="0" applyFont="1" applyFill="1" applyBorder="1" applyAlignment="1">
      <alignment horizontal="center" vertical="center"/>
    </xf>
    <xf numFmtId="0" fontId="33" fillId="4" borderId="14" xfId="0" applyFont="1" applyFill="1" applyBorder="1" applyAlignment="1">
      <alignment horizontal="center" vertical="center"/>
    </xf>
    <xf numFmtId="0" fontId="33" fillId="4" borderId="16" xfId="0" applyFont="1" applyFill="1" applyBorder="1" applyAlignment="1">
      <alignment horizontal="center" vertical="center"/>
    </xf>
    <xf numFmtId="164" fontId="19" fillId="5" borderId="11" xfId="0" applyNumberFormat="1" applyFont="1" applyFill="1" applyBorder="1" applyAlignment="1">
      <alignment horizontal="center" vertical="center" textRotation="90"/>
    </xf>
    <xf numFmtId="164" fontId="19" fillId="5" borderId="7" xfId="0" applyNumberFormat="1" applyFont="1" applyFill="1" applyBorder="1" applyAlignment="1">
      <alignment horizontal="center" vertical="center" textRotation="90"/>
    </xf>
    <xf numFmtId="0" fontId="8" fillId="0" borderId="7" xfId="0" applyFont="1" applyFill="1" applyBorder="1" applyAlignment="1">
      <alignment horizontal="left" vertical="top" wrapText="1"/>
    </xf>
    <xf numFmtId="0" fontId="29" fillId="0" borderId="9" xfId="0" applyFont="1" applyBorder="1" applyAlignment="1">
      <alignment horizontal="center" vertical="center"/>
    </xf>
    <xf numFmtId="0" fontId="29" fillId="0" borderId="7" xfId="0" applyFont="1" applyBorder="1" applyAlignment="1">
      <alignment horizontal="center" vertical="center"/>
    </xf>
    <xf numFmtId="1" fontId="19" fillId="5" borderId="20" xfId="0" applyNumberFormat="1" applyFont="1" applyFill="1" applyBorder="1" applyAlignment="1">
      <alignment horizontal="center" vertical="center" wrapText="1"/>
    </xf>
    <xf numFmtId="1" fontId="19" fillId="5" borderId="11" xfId="0" applyNumberFormat="1"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29" fillId="0" borderId="9" xfId="0" applyFont="1" applyBorder="1" applyAlignment="1">
      <alignment horizontal="center"/>
    </xf>
    <xf numFmtId="0" fontId="29" fillId="0" borderId="7" xfId="0" applyFont="1" applyBorder="1" applyAlignment="1">
      <alignment horizontal="center"/>
    </xf>
    <xf numFmtId="0" fontId="19" fillId="8" borderId="7" xfId="0" applyFont="1" applyFill="1" applyBorder="1" applyAlignment="1">
      <alignment horizontal="center" vertical="center" wrapText="1"/>
    </xf>
  </cellXfs>
  <cellStyles count="4">
    <cellStyle name="Hyperlink" xfId="3" builtinId="8"/>
    <cellStyle name="Neutral" xfId="2" builtinId="28"/>
    <cellStyle name="Normal" xfId="0" builtinId="0"/>
    <cellStyle name="Total 2 6" xfId="1" xr:uid="{00000000-0005-0000-0000-000002000000}"/>
  </cellStyles>
  <dxfs count="102">
    <dxf>
      <fill>
        <patternFill>
          <bgColor rgb="FF54E08E"/>
        </patternFill>
      </fill>
    </dxf>
    <dxf>
      <fill>
        <patternFill>
          <bgColor rgb="FF54E08E"/>
        </patternFill>
      </fill>
    </dxf>
    <dxf>
      <font>
        <color rgb="FFFF0000"/>
      </font>
    </dxf>
    <dxf>
      <font>
        <color rgb="FFFF0000"/>
      </font>
    </dxf>
    <dxf>
      <font>
        <color rgb="FFFF0000"/>
      </font>
    </dxf>
    <dxf>
      <font>
        <color rgb="FFFF0000"/>
      </font>
    </dxf>
    <dxf>
      <font>
        <color rgb="FFFF0000"/>
      </font>
    </dxf>
    <dxf>
      <fill>
        <patternFill>
          <bgColor rgb="FF54E08E"/>
        </patternFill>
      </fill>
    </dxf>
    <dxf>
      <fill>
        <patternFill>
          <bgColor rgb="FF54E08E"/>
        </patternFill>
      </fill>
    </dxf>
    <dxf>
      <font>
        <color rgb="FFFF0000"/>
      </font>
    </dxf>
    <dxf>
      <font>
        <color rgb="FFFF0000"/>
      </font>
    </dxf>
    <dxf>
      <font>
        <color rgb="FFFF0000"/>
      </font>
    </dxf>
    <dxf>
      <font>
        <color rgb="FFFF0000"/>
      </font>
    </dxf>
    <dxf>
      <font>
        <color rgb="FFFF0000"/>
      </font>
    </dxf>
    <dxf>
      <fill>
        <patternFill>
          <bgColor rgb="FF54E08E"/>
        </patternFill>
      </fill>
    </dxf>
    <dxf>
      <fill>
        <patternFill>
          <bgColor rgb="FF54E08E"/>
        </patternFill>
      </fill>
    </dxf>
    <dxf>
      <font>
        <color rgb="FFFF0000"/>
      </font>
    </dxf>
    <dxf>
      <font>
        <color rgb="FFFF0000"/>
      </font>
    </dxf>
    <dxf>
      <font>
        <color rgb="FFFF0000"/>
      </font>
    </dxf>
    <dxf>
      <font>
        <color rgb="FFFF0000"/>
      </font>
    </dxf>
    <dxf>
      <font>
        <color rgb="FFFF0000"/>
      </font>
    </dxf>
    <dxf>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vertical="top" textRotation="0" wrapText="1" indent="0" justifyLastLine="0" shrinkToFit="0" readingOrder="0"/>
    </dxf>
    <dxf>
      <fill>
        <patternFill patternType="none">
          <fgColor indexed="64"/>
          <bgColor auto="1"/>
        </patternFill>
      </fill>
      <alignment vertical="top" textRotation="0" wrapText="1" indent="0" justifyLastLine="0" shrinkToFit="0" readingOrder="0"/>
    </dxf>
    <dxf>
      <fill>
        <patternFill patternType="none">
          <fgColor indexed="64"/>
          <bgColor auto="1"/>
        </patternFill>
      </fill>
      <alignment vertical="top" textRotation="0" wrapText="1" indent="0" justifyLastLine="0" shrinkToFit="0" readingOrder="0"/>
    </dxf>
    <dxf>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vertical="top" textRotation="0" wrapText="1" indent="0" justifyLastLine="0" shrinkToFit="0" readingOrder="0"/>
    </dxf>
    <dxf>
      <fill>
        <patternFill patternType="none">
          <fgColor indexed="64"/>
          <bgColor auto="1"/>
        </patternFill>
      </fill>
      <alignment vertical="top" textRotation="0" wrapText="1" indent="0" justifyLastLine="0" shrinkToFit="0" readingOrder="0"/>
    </dxf>
    <dxf>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vertical="top"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1" indent="0" justifyLastLine="0" shrinkToFit="0" readingOrder="0"/>
    </dxf>
    <dxf>
      <font>
        <b val="0"/>
      </font>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vertical="top"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1" indent="0" justifyLastLine="0" shrinkToFit="0" readingOrder="0"/>
    </dxf>
    <dxf>
      <font>
        <b val="0"/>
      </font>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vertical="top" textRotation="0" wrapText="1"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4" tint="-0.249977111117893"/>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ill>
        <patternFill>
          <bgColor rgb="FFF9F8F4"/>
        </patternFill>
      </fill>
    </dxf>
    <dxf>
      <fill>
        <patternFill patternType="solid">
          <fgColor theme="4" tint="0.79992065187536243"/>
          <bgColor rgb="FFECEBE7"/>
        </patternFill>
      </fill>
    </dxf>
    <dxf>
      <font>
        <b/>
        <color theme="1"/>
      </font>
    </dxf>
    <dxf>
      <font>
        <b/>
        <color theme="1"/>
      </font>
    </dxf>
    <dxf>
      <font>
        <b/>
        <color theme="1"/>
      </font>
      <border>
        <top style="double">
          <color theme="4"/>
        </top>
      </border>
    </dxf>
    <dxf>
      <font>
        <b/>
        <color theme="0"/>
      </font>
      <fill>
        <patternFill patternType="solid">
          <fgColor theme="4"/>
          <bgColor rgb="FF2A4942"/>
        </patternFill>
      </fill>
    </dxf>
    <dxf>
      <font>
        <color theme="1"/>
      </font>
      <border>
        <left style="thin">
          <color rgb="FF05271F"/>
        </left>
        <right style="thin">
          <color rgb="FF05271F"/>
        </right>
        <top style="thin">
          <color rgb="FF05271F"/>
        </top>
        <bottom style="thin">
          <color rgb="FF05271F"/>
        </bottom>
        <vertical style="thin">
          <color rgb="FF05271F"/>
        </vertical>
        <horizontal style="thin">
          <color rgb="FF05271F"/>
        </horizontal>
      </border>
    </dxf>
  </dxfs>
  <tableStyles count="1" defaultTableStyle="TableStyleMedium2" defaultPivotStyle="PivotStyleLight16">
    <tableStyle name="TableStyle SUDE" pivot="0" count="7" xr9:uid="{95A937F5-880E-4C7F-909D-50817FA3C458}">
      <tableStyleElement type="wholeTable" dxfId="101"/>
      <tableStyleElement type="headerRow" dxfId="100"/>
      <tableStyleElement type="totalRow" dxfId="99"/>
      <tableStyleElement type="firstColumn" dxfId="98"/>
      <tableStyleElement type="lastColumn" dxfId="97"/>
      <tableStyleElement type="firstRowStripe" dxfId="96"/>
      <tableStyleElement type="secondRowStripe" dxfId="95"/>
    </tableStyle>
  </tableStyles>
  <colors>
    <mruColors>
      <color rgb="FF54E08E"/>
      <color rgb="FF29D872"/>
      <color rgb="FFA9EFC6"/>
      <color rgb="FF2A4942"/>
      <color rgb="FFECEBE7"/>
      <color rgb="FF05271F"/>
      <color rgb="FFD4F7E3"/>
      <color rgb="FFF9F8F4"/>
      <color rgb="FF2AD8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357931</xdr:colOff>
      <xdr:row>0</xdr:row>
      <xdr:rowOff>136922</xdr:rowOff>
    </xdr:from>
    <xdr:to>
      <xdr:col>15</xdr:col>
      <xdr:colOff>301166</xdr:colOff>
      <xdr:row>12</xdr:row>
      <xdr:rowOff>437276</xdr:rowOff>
    </xdr:to>
    <xdr:pic>
      <xdr:nvPicPr>
        <xdr:cNvPr id="21" name="Picture 20">
          <a:extLst>
            <a:ext uri="{FF2B5EF4-FFF2-40B4-BE49-F238E27FC236}">
              <a16:creationId xmlns:a16="http://schemas.microsoft.com/office/drawing/2014/main" id="{D01FCE9E-25B0-5280-95B3-DA6BA3C8585E}"/>
            </a:ext>
          </a:extLst>
        </xdr:cNvPr>
        <xdr:cNvPicPr>
          <a:picLocks noChangeAspect="1"/>
        </xdr:cNvPicPr>
      </xdr:nvPicPr>
      <xdr:blipFill>
        <a:blip xmlns:r="http://schemas.openxmlformats.org/officeDocument/2006/relationships" r:embed="rId1"/>
        <a:stretch>
          <a:fillRect/>
        </a:stretch>
      </xdr:blipFill>
      <xdr:spPr>
        <a:xfrm>
          <a:off x="9472165" y="136922"/>
          <a:ext cx="7837079" cy="68652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C0EF90-826F-4D1F-A116-3FCC636F5457}" name="Connectors_Table" displayName="Connectors_Table" ref="A1:H70" totalsRowShown="0" headerRowDxfId="94" dataDxfId="92" headerRowBorderDxfId="93" tableBorderDxfId="91" totalsRowBorderDxfId="90">
  <autoFilter ref="A1:H70" xr:uid="{4EC0EF90-826F-4D1F-A116-3FCC636F5457}"/>
  <tableColumns count="8">
    <tableColumn id="1" xr3:uid="{D338C542-2B5D-40CB-B33E-BEDEDCC3AFF8}" name="Connector List" dataDxfId="89"/>
    <tableColumn id="2" xr3:uid="{B64E9C88-9AD8-4477-8C32-A7261282E7E6}" name="MOST Disassembly sequence" dataDxfId="88"/>
    <tableColumn id="3" xr3:uid="{F7821102-A9D2-4377-A859-C5E36B049E0A}" name="Manual Disassembly Time (TMU)" dataDxfId="87">
      <calculatedColumnFormula>10*10</calculatedColumnFormula>
    </tableColumn>
    <tableColumn id="4" xr3:uid="{D159E414-B708-4C32-84C3-0CE8DF153B59}" name="Manual Disassembly Time (s/task)" dataDxfId="86">
      <calculatedColumnFormula>C2*0.036</calculatedColumnFormula>
    </tableColumn>
    <tableColumn id="10" xr3:uid="{996BC087-B506-4955-89CB-27267138C3CD}" name="No. of Turns" dataDxfId="85"/>
    <tableColumn id="8" xr3:uid="{F1FB690A-2AAE-4767-B16E-5135A102815C}" name="Robotic Disassembly Time (s/task)" dataDxfId="84"/>
    <tableColumn id="7" xr3:uid="{3FC75B0A-B3DC-434D-9E7B-61EB9EFD6F6F}" name="References" dataDxfId="83"/>
    <tableColumn id="5" xr3:uid="{675AC8F7-2C5A-47BA-BB70-51CE63AF8B11}" name="Note" dataDxfId="82"/>
  </tableColumns>
  <tableStyleInfo name="TableStyle SUD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C53713A-AF50-4051-935B-F68FBA998610}" name="position_table" displayName="position_table" ref="A1:F9" totalsRowShown="0" headerRowDxfId="81" dataDxfId="79" headerRowBorderDxfId="80" tableBorderDxfId="78" totalsRowBorderDxfId="77">
  <autoFilter ref="A1:F9" xr:uid="{DC53713A-AF50-4051-935B-F68FBA998610}"/>
  <tableColumns count="6">
    <tableColumn id="1" xr3:uid="{672C1FAE-E615-4A58-ABD0-A53277EBD301}" name="Positioning" dataDxfId="76"/>
    <tableColumn id="2" xr3:uid="{5D46FDDA-D8FE-4AD2-9F50-2A5728C36368}" name="MOST sequence" dataDxfId="75"/>
    <tableColumn id="3" xr3:uid="{BD55A1B2-A7E4-4DFB-9EA9-8FCC80A4D7D4}" name="Time (TMU)" dataDxfId="74"/>
    <tableColumn id="4" xr3:uid="{2880963F-E76B-419B-A6FC-88DBF2EA5B89}" name="Time (s/task)" dataDxfId="73">
      <calculatedColumnFormula>C2*0.036</calculatedColumnFormula>
    </tableColumn>
    <tableColumn id="7" xr3:uid="{B7DDDD99-693D-4EE9-8BCC-A942C6E189E2}" name="Robotic Disassembly Time (s/task)" dataDxfId="72"/>
    <tableColumn id="5" xr3:uid="{396B8393-0B65-474F-A3EC-C85B56EE6BDA}" name="Note" dataDxfId="71"/>
  </tableColumns>
  <tableStyleInfo name="TableStyle SUD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F3440E-1149-4CD9-90FA-753AE63321F0}" name="manipulation_table" displayName="manipulation_table" ref="A12:F21" totalsRowShown="0" headerRowDxfId="70" dataDxfId="68" headerRowBorderDxfId="69" tableBorderDxfId="67" totalsRowBorderDxfId="66">
  <autoFilter ref="A12:F21" xr:uid="{DCF3440E-1149-4CD9-90FA-753AE63321F0}"/>
  <tableColumns count="6">
    <tableColumn id="1" xr3:uid="{F232593B-2BF4-4F79-9CE7-19FC5F31D908}" name="Manipulation" dataDxfId="65"/>
    <tableColumn id="2" xr3:uid="{04BF50EA-1CE1-4294-95C0-4B749ABFDA94}" name="MOST sequence" dataDxfId="64"/>
    <tableColumn id="3" xr3:uid="{B5BC65A8-3DFB-4670-B85E-C72BCD4794B6}" name="Time (TMU)" dataDxfId="63"/>
    <tableColumn id="4" xr3:uid="{711C05E0-6A13-42E8-B58E-1C72504B46AF}" name="Time (s/task)" dataDxfId="62">
      <calculatedColumnFormula>C13*0.036</calculatedColumnFormula>
    </tableColumn>
    <tableColumn id="6" xr3:uid="{FED12543-7C03-4234-A07B-41E934F04D34}" name="Robotic Disassembly Time (s/task)" dataDxfId="61"/>
    <tableColumn id="5" xr3:uid="{58F8876E-3CED-46D3-B601-4BC37271B41A}" name="Note" dataDxfId="60"/>
  </tableColumns>
  <tableStyleInfo name="TableStyle SUD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2619D48-D419-454C-B876-FEAD930A7165}" name="Action_Table8" displayName="Action_Table8" ref="A36:E40" totalsRowShown="0" headerRowDxfId="59" dataDxfId="57" headerRowBorderDxfId="58" tableBorderDxfId="56" totalsRowBorderDxfId="55">
  <autoFilter ref="A36:E40" xr:uid="{72619D48-D419-454C-B876-FEAD930A7165}"/>
  <tableColumns count="5">
    <tableColumn id="1" xr3:uid="{176BC1E8-BA89-4192-B3CF-D42B65B4FB68}" name="Other Manual Operation Actions" dataDxfId="54"/>
    <tableColumn id="2" xr3:uid="{1FBD380E-2A57-4B1B-AE07-40FE71F40729}" name="MOST sequence" dataDxfId="53"/>
    <tableColumn id="3" xr3:uid="{D4995DB7-A288-4157-B991-26A2AE295DB2}" name="Time (TMU)" dataDxfId="52"/>
    <tableColumn id="4" xr3:uid="{4B155241-993E-4563-8B9B-395DA90418EE}" name="Time (s/task)" dataDxfId="51">
      <calculatedColumnFormula>C37*0.036</calculatedColumnFormula>
    </tableColumn>
    <tableColumn id="5" xr3:uid="{9E38B50A-94B3-4CB9-AA5A-82ADC6532A83}" name="Note" dataDxfId="50"/>
  </tableColumns>
  <tableStyleInfo name="TableStyle SUD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D5B969-54F7-40E3-AC39-E9C977F4B716}" name="removal_table" displayName="removal_table" ref="A23:E33" totalsRowShown="0" headerRowDxfId="49" dataDxfId="47" headerRowBorderDxfId="48" tableBorderDxfId="46" totalsRowBorderDxfId="45">
  <autoFilter ref="A23:E33" xr:uid="{ACD5B969-54F7-40E3-AC39-E9C977F4B716}"/>
  <tableColumns count="5">
    <tableColumn id="1" xr3:uid="{7E3AF730-336A-4AE8-9CBE-8F24F5B22574}" name="Removal Type" dataDxfId="44"/>
    <tableColumn id="2" xr3:uid="{03A1FAAB-94D2-437C-9F16-1C857260CB68}" name="MOST sequence" dataDxfId="43"/>
    <tableColumn id="3" xr3:uid="{E287284A-E94B-4499-8BD8-C253BE5FE507}" name="Time (TMU)" dataDxfId="42"/>
    <tableColumn id="4" xr3:uid="{AE7D639F-B9CB-4E5D-8FC8-D96A3B45579A}" name="Time (s/task)" dataDxfId="41">
      <calculatedColumnFormula>C24*0.036</calculatedColumnFormula>
    </tableColumn>
    <tableColumn id="5" xr3:uid="{F016EAA6-43AE-4315-A27D-0D36908FB1C0}" name="Note" dataDxfId="40"/>
  </tableColumns>
  <tableStyleInfo name="TableStyle SUD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F29E31-4CEF-404A-8CC8-ED6191E39A53}" name="manual_tool_change_table" displayName="manual_tool_change_table" ref="A42:E46" totalsRowShown="0" headerRowDxfId="39" dataDxfId="37" headerRowBorderDxfId="38" tableBorderDxfId="36" totalsRowBorderDxfId="35">
  <autoFilter ref="A42:E46" xr:uid="{36F29E31-4CEF-404A-8CC8-ED6191E39A53}"/>
  <tableColumns count="5">
    <tableColumn id="1" xr3:uid="{2A216B5D-38BB-46EE-A0EF-47021F78E08B}" name="Manual Tool Change" dataDxfId="34"/>
    <tableColumn id="2" xr3:uid="{23CE6AC0-81CF-485C-9549-B52FC0924DD3}" name="MOST sequence" dataDxfId="33"/>
    <tableColumn id="3" xr3:uid="{4C864E6F-B7F7-4097-80DC-7992E2431E80}" name="Time (TMU)" dataDxfId="32">
      <calculatedColumnFormula>2*10</calculatedColumnFormula>
    </tableColumn>
    <tableColumn id="4" xr3:uid="{C7EAEACC-397A-4F0A-9A66-0D981A36A445}" name="Time (s/task)" dataDxfId="31">
      <calculatedColumnFormula>C43*0.036</calculatedColumnFormula>
    </tableColumn>
    <tableColumn id="5" xr3:uid="{F99DAED8-FC23-42FF-8138-A41F424A9CD9}" name="Note" dataDxfId="30"/>
  </tableColumns>
  <tableStyleInfo name="TableStyle SUD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FC4DB3-8CCF-4E62-B3CB-DB7D83BAC2C3}" name="robot_parameter_table" displayName="robot_parameter_table" ref="A48:C68" totalsRowShown="0" headerRowDxfId="29" dataDxfId="28">
  <autoFilter ref="A48:C68" xr:uid="{CDFC4DB3-8CCF-4E62-B3CB-DB7D83BAC2C3}"/>
  <tableColumns count="3">
    <tableColumn id="1" xr3:uid="{0A460B7D-0789-4BB9-8C6B-400D20AAE9B3}" name="Robotic Disassembly Task Parameters" dataDxfId="27"/>
    <tableColumn id="2" xr3:uid="{AC2C8644-1EF0-4393-B146-271E8D3907F7}" name="Parameter Values" dataDxfId="26"/>
    <tableColumn id="3" xr3:uid="{462DDCA0-9F65-478B-8FBA-DB520667ABF2}" name="Notes" dataDxfId="25"/>
  </tableColumns>
  <tableStyleInfo name="TableStyle SUD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C6C72AF-6D74-4488-9450-F155886013BC}" name="robot_action_table" displayName="robot_action_table" ref="A71:B81" totalsRowShown="0" headerRowDxfId="24" dataDxfId="23">
  <autoFilter ref="A71:B81" xr:uid="{BC6C72AF-6D74-4488-9450-F155886013BC}"/>
  <tableColumns count="2">
    <tableColumn id="1" xr3:uid="{756330B7-185E-41B8-A765-8DB37D4AE45F}" name="Robot Actions" dataDxfId="22"/>
    <tableColumn id="2" xr3:uid="{AC398A5E-CF65-4625-9E28-9954874F0EE3}" name="Action Time (s)" dataDxfId="21"/>
  </tableColumns>
  <tableStyleInfo name="TableStyle SUD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9C238-0476-48C9-BD81-1408213D1DDD}">
  <sheetPr>
    <tabColor rgb="FFA9EFC6"/>
  </sheetPr>
  <dimension ref="B1:D24"/>
  <sheetViews>
    <sheetView zoomScale="55" zoomScaleNormal="55" workbookViewId="0">
      <selection activeCell="E16" sqref="E16"/>
    </sheetView>
  </sheetViews>
  <sheetFormatPr defaultColWidth="8.90625" defaultRowHeight="14.5" x14ac:dyDescent="0.35"/>
  <cols>
    <col min="1" max="1" width="3.1796875" style="60" customWidth="1"/>
    <col min="2" max="2" width="132.90625" style="12" customWidth="1"/>
    <col min="3" max="16384" width="8.90625" style="60"/>
  </cols>
  <sheetData>
    <row r="1" spans="2:2" ht="16.75" customHeight="1" x14ac:dyDescent="0.35"/>
    <row r="2" spans="2:2" s="59" customFormat="1" ht="39.65" customHeight="1" x14ac:dyDescent="0.35">
      <c r="B2" s="61" t="s">
        <v>248</v>
      </c>
    </row>
    <row r="3" spans="2:2" ht="72.5" x14ac:dyDescent="0.35">
      <c r="B3" s="51" t="s">
        <v>311</v>
      </c>
    </row>
    <row r="4" spans="2:2" s="59" customFormat="1" ht="21" x14ac:dyDescent="0.35">
      <c r="B4" s="63" t="s">
        <v>243</v>
      </c>
    </row>
    <row r="5" spans="2:2" s="59" customFormat="1" ht="15.5" x14ac:dyDescent="0.35">
      <c r="B5" s="62" t="s">
        <v>312</v>
      </c>
    </row>
    <row r="6" spans="2:2" ht="29" x14ac:dyDescent="0.35">
      <c r="B6" s="57" t="s">
        <v>242</v>
      </c>
    </row>
    <row r="7" spans="2:2" ht="130.5" x14ac:dyDescent="0.35">
      <c r="B7" s="58" t="s">
        <v>333</v>
      </c>
    </row>
    <row r="8" spans="2:2" x14ac:dyDescent="0.35">
      <c r="B8" s="57" t="s">
        <v>320</v>
      </c>
    </row>
    <row r="9" spans="2:2" ht="29" x14ac:dyDescent="0.35">
      <c r="B9" s="58" t="s">
        <v>321</v>
      </c>
    </row>
    <row r="10" spans="2:2" s="59" customFormat="1" ht="21" x14ac:dyDescent="0.35">
      <c r="B10" s="63" t="s">
        <v>249</v>
      </c>
    </row>
    <row r="11" spans="2:2" s="59" customFormat="1" ht="28.75" customHeight="1" x14ac:dyDescent="0.35">
      <c r="B11" s="62" t="s">
        <v>254</v>
      </c>
    </row>
    <row r="12" spans="2:2" ht="87" x14ac:dyDescent="0.35">
      <c r="B12" s="57" t="s">
        <v>322</v>
      </c>
    </row>
    <row r="13" spans="2:2" ht="145" x14ac:dyDescent="0.35">
      <c r="B13" s="58" t="s">
        <v>334</v>
      </c>
    </row>
    <row r="14" spans="2:2" ht="72.5" x14ac:dyDescent="0.35">
      <c r="B14" s="57" t="s">
        <v>323</v>
      </c>
    </row>
    <row r="15" spans="2:2" s="59" customFormat="1" ht="21" x14ac:dyDescent="0.35">
      <c r="B15" s="63" t="s">
        <v>250</v>
      </c>
    </row>
    <row r="16" spans="2:2" s="59" customFormat="1" ht="34.75" customHeight="1" x14ac:dyDescent="0.35">
      <c r="B16" s="62" t="s">
        <v>314</v>
      </c>
    </row>
    <row r="17" spans="2:4" ht="43.5" x14ac:dyDescent="0.35">
      <c r="B17" s="57" t="s">
        <v>251</v>
      </c>
    </row>
    <row r="18" spans="2:4" ht="130.5" x14ac:dyDescent="0.35">
      <c r="B18" s="58" t="s">
        <v>330</v>
      </c>
      <c r="D18" s="60" t="s">
        <v>336</v>
      </c>
    </row>
    <row r="19" spans="2:4" ht="74.400000000000006" customHeight="1" x14ac:dyDescent="0.35">
      <c r="B19" s="57" t="s">
        <v>335</v>
      </c>
    </row>
    <row r="20" spans="2:4" s="59" customFormat="1" ht="21" x14ac:dyDescent="0.35">
      <c r="B20" s="63" t="s">
        <v>244</v>
      </c>
    </row>
    <row r="21" spans="2:4" s="59" customFormat="1" ht="18" customHeight="1" x14ac:dyDescent="0.35">
      <c r="B21" s="62" t="s">
        <v>255</v>
      </c>
    </row>
    <row r="22" spans="2:4" ht="43.5" x14ac:dyDescent="0.35">
      <c r="B22" s="57" t="s">
        <v>252</v>
      </c>
    </row>
    <row r="23" spans="2:4" ht="43.5" x14ac:dyDescent="0.35">
      <c r="B23" s="58" t="s">
        <v>332</v>
      </c>
    </row>
    <row r="24" spans="2:4" x14ac:dyDescent="0.35">
      <c r="B24" s="57" t="s">
        <v>331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B090-D1D8-4A0B-B63E-C33E79298569}">
  <sheetPr>
    <tabColor rgb="FF54E08E"/>
    <pageSetUpPr fitToPage="1"/>
  </sheetPr>
  <dimension ref="A1:AN37"/>
  <sheetViews>
    <sheetView zoomScale="67" zoomScaleNormal="100" workbookViewId="0">
      <pane ySplit="4" topLeftCell="A5" activePane="bottomLeft" state="frozen"/>
      <selection pane="bottomLeft" activeCell="S9" sqref="S9"/>
    </sheetView>
  </sheetViews>
  <sheetFormatPr defaultColWidth="7.453125" defaultRowHeight="13" x14ac:dyDescent="0.3"/>
  <cols>
    <col min="1" max="1" width="10.453125" style="6" customWidth="1"/>
    <col min="2" max="2" width="11.90625" style="8" customWidth="1"/>
    <col min="3" max="3" width="22.54296875" style="5" customWidth="1"/>
    <col min="4" max="4" width="18.90625" style="5" customWidth="1"/>
    <col min="5" max="5" width="34.08984375" style="4" customWidth="1"/>
    <col min="6" max="6" width="9.90625" style="4" customWidth="1"/>
    <col min="7" max="7" width="13.54296875" style="4" customWidth="1"/>
    <col min="8" max="8" width="12.453125" style="4" customWidth="1"/>
    <col min="9" max="9" width="10.90625" style="4" customWidth="1"/>
    <col min="10" max="11" width="6.08984375" style="4" customWidth="1"/>
    <col min="12" max="12" width="5.90625" style="4" customWidth="1"/>
    <col min="13" max="14" width="9.08984375" style="4" customWidth="1"/>
    <col min="15" max="16" width="9.54296875" style="4" customWidth="1"/>
    <col min="17" max="17" width="13.54296875" style="4" customWidth="1"/>
    <col min="18" max="18" width="10.08984375" style="4" customWidth="1"/>
    <col min="19" max="19" width="34.08984375" style="4" customWidth="1"/>
    <col min="20" max="20" width="18.08984375" style="4" customWidth="1"/>
    <col min="21" max="21" width="18.54296875" style="4" customWidth="1"/>
    <col min="22" max="22" width="6.54296875" style="4" customWidth="1"/>
    <col min="23" max="23" width="4.453125" style="4" customWidth="1"/>
    <col min="24" max="24" width="6.54296875" style="4" customWidth="1"/>
    <col min="25" max="25" width="6.54296875" style="7" customWidth="1"/>
    <col min="26" max="26" width="7.453125" style="4" customWidth="1"/>
    <col min="27" max="27" width="5.08984375" style="4" customWidth="1"/>
    <col min="28" max="28" width="7.453125" style="4" bestFit="1" customWidth="1"/>
    <col min="29" max="29" width="8.453125" style="4" customWidth="1"/>
    <col min="30" max="32" width="8.54296875" style="4" bestFit="1" customWidth="1"/>
    <col min="33" max="33" width="7.453125" style="4" customWidth="1"/>
    <col min="34" max="34" width="7.08984375" style="4" customWidth="1"/>
    <col min="35" max="35" width="8.54296875" style="4" bestFit="1" customWidth="1"/>
    <col min="36" max="36" width="15.6328125" style="4" customWidth="1"/>
    <col min="37" max="37" width="17.453125" style="10" customWidth="1"/>
    <col min="38" max="38" width="30.90625" style="4" customWidth="1"/>
    <col min="39" max="39" width="31.54296875" style="4" customWidth="1"/>
    <col min="40" max="16384" width="7.453125" style="4"/>
  </cols>
  <sheetData>
    <row r="1" spans="1:40" ht="56.4" customHeight="1" thickBot="1" x14ac:dyDescent="0.35">
      <c r="A1" s="105" t="s">
        <v>324</v>
      </c>
      <c r="B1" s="105"/>
      <c r="C1" s="105"/>
      <c r="D1" s="105"/>
      <c r="E1" s="105" t="s">
        <v>325</v>
      </c>
      <c r="F1" s="105"/>
      <c r="G1" s="105"/>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9"/>
      <c r="AL1" s="50"/>
      <c r="AM1" s="50"/>
    </row>
    <row r="2" spans="1:40" s="86" customFormat="1" ht="21" customHeight="1" thickBot="1" x14ac:dyDescent="0.35">
      <c r="A2" s="93" t="s">
        <v>0</v>
      </c>
      <c r="B2" s="94"/>
      <c r="C2" s="94"/>
      <c r="D2" s="94"/>
      <c r="E2" s="94"/>
      <c r="F2" s="95"/>
      <c r="G2" s="99" t="s">
        <v>1</v>
      </c>
      <c r="H2" s="100"/>
      <c r="I2" s="100"/>
      <c r="J2" s="100"/>
      <c r="K2" s="100"/>
      <c r="L2" s="100"/>
      <c r="M2" s="100"/>
      <c r="N2" s="101"/>
      <c r="O2" s="115" t="s">
        <v>2</v>
      </c>
      <c r="P2" s="94"/>
      <c r="Q2" s="94"/>
      <c r="R2" s="94"/>
      <c r="S2" s="94"/>
      <c r="T2" s="94"/>
      <c r="U2" s="114"/>
      <c r="V2" s="93" t="s">
        <v>315</v>
      </c>
      <c r="W2" s="94"/>
      <c r="X2" s="94"/>
      <c r="Y2" s="94"/>
      <c r="Z2" s="94"/>
      <c r="AA2" s="94"/>
      <c r="AB2" s="114"/>
      <c r="AC2" s="93" t="s">
        <v>316</v>
      </c>
      <c r="AD2" s="94"/>
      <c r="AE2" s="94"/>
      <c r="AF2" s="94"/>
      <c r="AG2" s="94"/>
      <c r="AH2" s="94"/>
      <c r="AI2" s="114"/>
      <c r="AJ2" s="99" t="s">
        <v>317</v>
      </c>
      <c r="AK2" s="101"/>
      <c r="AL2" s="119" t="s">
        <v>4</v>
      </c>
      <c r="AM2" s="120"/>
      <c r="AN2" s="85"/>
    </row>
    <row r="3" spans="1:40" ht="28.65" customHeight="1" x14ac:dyDescent="0.3">
      <c r="A3" s="91" t="s">
        <v>5</v>
      </c>
      <c r="B3" s="96" t="s">
        <v>6</v>
      </c>
      <c r="C3" s="91" t="s">
        <v>7</v>
      </c>
      <c r="D3" s="91" t="s">
        <v>8</v>
      </c>
      <c r="E3" s="106" t="s">
        <v>9</v>
      </c>
      <c r="F3" s="91" t="s">
        <v>10</v>
      </c>
      <c r="G3" s="89" t="s">
        <v>11</v>
      </c>
      <c r="H3" s="89" t="s">
        <v>309</v>
      </c>
      <c r="I3" s="89" t="s">
        <v>12</v>
      </c>
      <c r="J3" s="89" t="s">
        <v>13</v>
      </c>
      <c r="K3" s="89"/>
      <c r="L3" s="89"/>
      <c r="M3" s="89" t="s">
        <v>14</v>
      </c>
      <c r="N3" s="98" t="s">
        <v>3</v>
      </c>
      <c r="O3" s="91" t="s">
        <v>15</v>
      </c>
      <c r="P3" s="91" t="s">
        <v>16</v>
      </c>
      <c r="Q3" s="91" t="s">
        <v>17</v>
      </c>
      <c r="R3" s="91"/>
      <c r="S3" s="91" t="s">
        <v>245</v>
      </c>
      <c r="T3" s="91" t="s">
        <v>18</v>
      </c>
      <c r="U3" s="91" t="s">
        <v>19</v>
      </c>
      <c r="V3" s="110" t="s">
        <v>20</v>
      </c>
      <c r="W3" s="110" t="s">
        <v>21</v>
      </c>
      <c r="X3" s="110" t="s">
        <v>22</v>
      </c>
      <c r="Y3" s="116" t="s">
        <v>23</v>
      </c>
      <c r="Z3" s="110" t="s">
        <v>24</v>
      </c>
      <c r="AA3" s="110" t="s">
        <v>25</v>
      </c>
      <c r="AB3" s="112" t="s">
        <v>26</v>
      </c>
      <c r="AC3" s="110" t="s">
        <v>20</v>
      </c>
      <c r="AD3" s="110" t="s">
        <v>27</v>
      </c>
      <c r="AE3" s="110" t="s">
        <v>22</v>
      </c>
      <c r="AF3" s="116" t="s">
        <v>23</v>
      </c>
      <c r="AG3" s="110" t="s">
        <v>24</v>
      </c>
      <c r="AH3" s="110" t="s">
        <v>25</v>
      </c>
      <c r="AI3" s="112" t="s">
        <v>26</v>
      </c>
      <c r="AJ3" s="123" t="s">
        <v>246</v>
      </c>
      <c r="AK3" s="121" t="s">
        <v>247</v>
      </c>
      <c r="AL3" s="120"/>
      <c r="AM3" s="120"/>
    </row>
    <row r="4" spans="1:40" ht="62.4" customHeight="1" x14ac:dyDescent="0.3">
      <c r="A4" s="92"/>
      <c r="B4" s="97"/>
      <c r="C4" s="92"/>
      <c r="D4" s="92"/>
      <c r="E4" s="107"/>
      <c r="F4" s="92"/>
      <c r="G4" s="90"/>
      <c r="H4" s="90"/>
      <c r="I4" s="90"/>
      <c r="J4" s="38" t="s">
        <v>28</v>
      </c>
      <c r="K4" s="38" t="s">
        <v>29</v>
      </c>
      <c r="L4" s="38" t="s">
        <v>30</v>
      </c>
      <c r="M4" s="90"/>
      <c r="N4" s="89"/>
      <c r="O4" s="92"/>
      <c r="P4" s="92"/>
      <c r="Q4" s="39" t="s">
        <v>31</v>
      </c>
      <c r="R4" s="39" t="s">
        <v>32</v>
      </c>
      <c r="S4" s="92"/>
      <c r="T4" s="92"/>
      <c r="U4" s="92"/>
      <c r="V4" s="111"/>
      <c r="W4" s="111"/>
      <c r="X4" s="111"/>
      <c r="Y4" s="117"/>
      <c r="Z4" s="111"/>
      <c r="AA4" s="111"/>
      <c r="AB4" s="113"/>
      <c r="AC4" s="111"/>
      <c r="AD4" s="111"/>
      <c r="AE4" s="111"/>
      <c r="AF4" s="117"/>
      <c r="AG4" s="111"/>
      <c r="AH4" s="111"/>
      <c r="AI4" s="113"/>
      <c r="AJ4" s="124"/>
      <c r="AK4" s="122"/>
      <c r="AL4" s="120"/>
      <c r="AM4" s="120"/>
    </row>
    <row r="5" spans="1:40" s="5" customFormat="1" ht="31.65" customHeight="1" x14ac:dyDescent="0.3">
      <c r="A5" s="66">
        <v>1</v>
      </c>
      <c r="B5" s="67"/>
      <c r="C5" s="66"/>
      <c r="D5" s="66"/>
      <c r="E5" s="66"/>
      <c r="F5" s="66"/>
      <c r="G5" s="68"/>
      <c r="H5" s="68"/>
      <c r="I5" s="68"/>
      <c r="J5" s="68"/>
      <c r="K5" s="68"/>
      <c r="L5" s="68"/>
      <c r="M5" s="68"/>
      <c r="N5" s="68"/>
      <c r="O5" s="66"/>
      <c r="P5" s="66"/>
      <c r="Q5" s="66"/>
      <c r="R5" s="66"/>
      <c r="S5" s="66"/>
      <c r="T5" s="66"/>
      <c r="U5" s="66"/>
      <c r="V5" s="40">
        <f>IFERROR(VLOOKUP(Q5,manual_tool_change_table[#All],4,FALSE),0)</f>
        <v>0</v>
      </c>
      <c r="W5" s="40">
        <f>IF(O5="No",F5*'Action Time'!$D$37,0)</f>
        <v>0</v>
      </c>
      <c r="X5" s="41">
        <f>IFERROR(VLOOKUP(T5,manipulation_table[#All],4,FALSE),0)</f>
        <v>0</v>
      </c>
      <c r="Y5" s="41">
        <f>IFERROR((VLOOKUP(S5,position_table[#All],4,FALSE)*F5)+(IF(S5='Action Time'!$A$3,0.36,0))+(IF(S5='Action Time'!$A$6,0.36,0))+(IF(S5='Action Time'!$A$8,'Action Time'!$D$8,0))+(IF(S5='Action Time'!$A$9,'Action Time'!$D$9,0)),0)</f>
        <v>0</v>
      </c>
      <c r="Z5" s="40">
        <f>IFERROR(VLOOKUP(E5,Connectors_Table[#All],4,FALSE)*F5,0)</f>
        <v>0</v>
      </c>
      <c r="AA5" s="41">
        <f>IFERROR(VLOOKUP(U5,removal_table[#All],4,FALSE),0)</f>
        <v>0</v>
      </c>
      <c r="AB5" s="40">
        <f>SUM(V5:AA5)</f>
        <v>0</v>
      </c>
      <c r="AC5" s="40">
        <f>IFERROR(IF(N5="No", ,VLOOKUP(R5,robot_action_table[#All],2,FALSE)),0)</f>
        <v>0</v>
      </c>
      <c r="AD5" s="40">
        <f>IF(N5="Yes",VLOOKUP("Robot traversal",robot_action_table[#All],2,FALSE),0)</f>
        <v>0</v>
      </c>
      <c r="AE5" s="40">
        <f>IFERROR(IF(N5="No",,VLOOKUP(T5,manipulation_table[#All],5,FALSE)),0)</f>
        <v>0</v>
      </c>
      <c r="AF5" s="41">
        <f>IFERROR(IF(N5="No",,(VLOOKUP(S5,position_table[#All],5,FALSE)*F5)),0)</f>
        <v>0</v>
      </c>
      <c r="AG5" s="41">
        <f>IFERROR(IF(N5="No",,VLOOKUP(E5,Connectors_Table[#All],6,FALSE)*F5),0)</f>
        <v>0</v>
      </c>
      <c r="AH5" s="41">
        <f>IF(N5="Yes",IF(U5="No removal",0,VLOOKUP("Object removal",robot_action_table[],2,FALSE)),0)</f>
        <v>0</v>
      </c>
      <c r="AI5" s="41">
        <f>SUM(AC5:AH5)</f>
        <v>0</v>
      </c>
      <c r="AJ5" s="41">
        <f>IF(N5="No",AB5,)</f>
        <v>0</v>
      </c>
      <c r="AK5" s="42">
        <f>IF(OR(AND(AJ4=0,AJ5&lt;&gt;0),AND(AJ5=0,AJ4&lt;&gt;0)),VLOOKUP("Task Changeover time",robot_action_table[#All],2,FALSE),0)</f>
        <v>0</v>
      </c>
      <c r="AL5" s="52"/>
      <c r="AM5" s="53"/>
    </row>
    <row r="6" spans="1:40" s="5" customFormat="1" ht="31.65" customHeight="1" x14ac:dyDescent="0.3">
      <c r="A6" s="66">
        <v>2</v>
      </c>
      <c r="B6" s="67"/>
      <c r="C6" s="66"/>
      <c r="D6" s="66"/>
      <c r="E6" s="66"/>
      <c r="F6" s="66"/>
      <c r="G6" s="68"/>
      <c r="H6" s="68"/>
      <c r="I6" s="68"/>
      <c r="J6" s="68"/>
      <c r="K6" s="68"/>
      <c r="L6" s="68"/>
      <c r="M6" s="68"/>
      <c r="N6" s="68"/>
      <c r="O6" s="66"/>
      <c r="P6" s="66"/>
      <c r="Q6" s="66"/>
      <c r="R6" s="66"/>
      <c r="S6" s="66"/>
      <c r="T6" s="66"/>
      <c r="U6" s="66"/>
      <c r="V6" s="40">
        <f>IFERROR(VLOOKUP(Q6,manual_tool_change_table[#All],4,FALSE),0)</f>
        <v>0</v>
      </c>
      <c r="W6" s="40">
        <f>IF(O6="No",F6*'Action Time'!$D$37,0)</f>
        <v>0</v>
      </c>
      <c r="X6" s="41">
        <f>IFERROR(VLOOKUP(T6,manipulation_table[#All],4,FALSE),0)</f>
        <v>0</v>
      </c>
      <c r="Y6" s="41">
        <f>IFERROR((VLOOKUP(S6,position_table[#All],4,FALSE)*F6)+(IF(S6='Action Time'!$A$3,0.36,0))+(IF(S6='Action Time'!$A$6,0.36,0))+(IF(S6='Action Time'!$A$8,'Action Time'!$D$8,0))+(IF(S6='Action Time'!$A$9,'Action Time'!$D$9,0)),0)</f>
        <v>0</v>
      </c>
      <c r="Z6" s="40">
        <f>IFERROR(VLOOKUP(E6,Connectors_Table[#All],4,FALSE)*F6,0)</f>
        <v>0</v>
      </c>
      <c r="AA6" s="41">
        <f>IFERROR(VLOOKUP(U6,removal_table[#All],4,FALSE),0)</f>
        <v>0</v>
      </c>
      <c r="AB6" s="40">
        <f t="shared" ref="AB6:AB7" si="0">SUM(V6:AA6)</f>
        <v>0</v>
      </c>
      <c r="AC6" s="40">
        <f>IFERROR(IF(N6="No", ,VLOOKUP(R6,robot_action_table[#All],2,FALSE)),0)</f>
        <v>0</v>
      </c>
      <c r="AD6" s="40">
        <f>IF(N6="Yes",VLOOKUP("Robot traversal",robot_action_table[#All],2,FALSE),0)</f>
        <v>0</v>
      </c>
      <c r="AE6" s="40">
        <f>IFERROR(IF(N6="No",,VLOOKUP(T6,manipulation_table[#All],5,FALSE)),0)</f>
        <v>0</v>
      </c>
      <c r="AF6" s="41">
        <f>IFERROR(IF(N6="No",,(VLOOKUP(S6,position_table[#All],5,FALSE)*F6)),0)</f>
        <v>0</v>
      </c>
      <c r="AG6" s="41">
        <f>IFERROR(IF(N6="No",,VLOOKUP(E6,Connectors_Table[#All],6,FALSE)*F6),0)</f>
        <v>0</v>
      </c>
      <c r="AH6" s="41">
        <f>IF(N6="Yes",IF(U6="No removal",0,VLOOKUP("Object removal",robot_action_table[],2,FALSE)),0)</f>
        <v>0</v>
      </c>
      <c r="AI6" s="41">
        <f t="shared" ref="AI6:AI7" si="1">SUM(AC6:AH6)</f>
        <v>0</v>
      </c>
      <c r="AJ6" s="41">
        <f t="shared" ref="AJ6:AJ28" si="2">IF(N6="No",AB6,)</f>
        <v>0</v>
      </c>
      <c r="AK6" s="42">
        <f>IF(OR(AND(AJ5=0,AJ6&lt;&gt;0),AND(AJ6=0,AJ5&lt;&gt;0)),VLOOKUP("Task Changeover time",robot_action_table[#All],2,FALSE),0)</f>
        <v>0</v>
      </c>
      <c r="AL6" s="54"/>
      <c r="AM6" s="55"/>
    </row>
    <row r="7" spans="1:40" ht="27.65" customHeight="1" x14ac:dyDescent="0.3">
      <c r="A7" s="66">
        <v>3</v>
      </c>
      <c r="B7" s="67"/>
      <c r="C7" s="66"/>
      <c r="D7" s="66"/>
      <c r="E7" s="66"/>
      <c r="F7" s="66"/>
      <c r="G7" s="68"/>
      <c r="H7" s="68"/>
      <c r="I7" s="68"/>
      <c r="J7" s="68"/>
      <c r="K7" s="68"/>
      <c r="L7" s="68"/>
      <c r="M7" s="68"/>
      <c r="N7" s="68"/>
      <c r="O7" s="66"/>
      <c r="P7" s="66"/>
      <c r="Q7" s="66"/>
      <c r="R7" s="66"/>
      <c r="S7" s="66"/>
      <c r="T7" s="66"/>
      <c r="U7" s="66"/>
      <c r="V7" s="40">
        <f>IFERROR(VLOOKUP(Q7,manual_tool_change_table[#All],4,FALSE),0)</f>
        <v>0</v>
      </c>
      <c r="W7" s="40">
        <f>IF(O7="No",F7*'Action Time'!$D$37,0)</f>
        <v>0</v>
      </c>
      <c r="X7" s="41">
        <f>IFERROR(VLOOKUP(T7,manipulation_table[#All],4,FALSE),0)</f>
        <v>0</v>
      </c>
      <c r="Y7" s="41">
        <f>IFERROR((VLOOKUP(S7,position_table[#All],4,FALSE)*F7)+(IF(S7='Action Time'!$A$3,0.36,0))+(IF(S7='Action Time'!$A$6,0.36,0))+(IF(S7='Action Time'!$A$8,'Action Time'!$D$8,0))+(IF(S7='Action Time'!$A$9,'Action Time'!$D$9,0)),0)</f>
        <v>0</v>
      </c>
      <c r="Z7" s="40">
        <f>IFERROR(VLOOKUP(E7,Connectors_Table[#All],4,FALSE)*F7,0)</f>
        <v>0</v>
      </c>
      <c r="AA7" s="41">
        <f>IFERROR(VLOOKUP(U7,removal_table[#All],4,FALSE),0)</f>
        <v>0</v>
      </c>
      <c r="AB7" s="40">
        <f t="shared" si="0"/>
        <v>0</v>
      </c>
      <c r="AC7" s="40">
        <f>IFERROR(IF(N7="No", ,VLOOKUP(R7,robot_action_table[#All],2,FALSE)),0)</f>
        <v>0</v>
      </c>
      <c r="AD7" s="40">
        <f>IF(N7="Yes",VLOOKUP("Robot traversal",robot_action_table[#All],2,FALSE),0)</f>
        <v>0</v>
      </c>
      <c r="AE7" s="40">
        <f>IFERROR(IF(N7="No",,VLOOKUP(T7,manipulation_table[#All],5,FALSE)),0)</f>
        <v>0</v>
      </c>
      <c r="AF7" s="41">
        <f>IFERROR(IF(N7="No",,(VLOOKUP(S7,position_table[#All],5,FALSE)*F7)),0)</f>
        <v>0</v>
      </c>
      <c r="AG7" s="41">
        <f>IFERROR(IF(N7="No",,VLOOKUP(E7,Connectors_Table[#All],6,FALSE)*F7),0)</f>
        <v>0</v>
      </c>
      <c r="AH7" s="41">
        <f>IF(N7="Yes",IF(U7="No removal",0,VLOOKUP("Object removal",robot_action_table[],2,FALSE)),0)</f>
        <v>0</v>
      </c>
      <c r="AI7" s="41">
        <f t="shared" si="1"/>
        <v>0</v>
      </c>
      <c r="AJ7" s="41">
        <f t="shared" si="2"/>
        <v>0</v>
      </c>
      <c r="AK7" s="42">
        <f>IF(OR(AND(AJ6=0,AJ7&lt;&gt;0),AND(AJ7=0,AJ6&lt;&gt;0)),VLOOKUP("Task Changeover time",robot_action_table[#All],2,FALSE),0)</f>
        <v>0</v>
      </c>
      <c r="AL7" s="56"/>
      <c r="AM7" s="56"/>
    </row>
    <row r="8" spans="1:40" ht="24.65" customHeight="1" x14ac:dyDescent="0.3">
      <c r="A8" s="66">
        <v>4</v>
      </c>
      <c r="B8" s="67"/>
      <c r="C8" s="66"/>
      <c r="D8" s="66"/>
      <c r="E8" s="66"/>
      <c r="F8" s="66"/>
      <c r="G8" s="68"/>
      <c r="H8" s="68"/>
      <c r="I8" s="68"/>
      <c r="J8" s="68"/>
      <c r="K8" s="68"/>
      <c r="L8" s="68"/>
      <c r="M8" s="68"/>
      <c r="N8" s="68"/>
      <c r="O8" s="66"/>
      <c r="P8" s="66"/>
      <c r="Q8" s="66"/>
      <c r="R8" s="66"/>
      <c r="S8" s="66"/>
      <c r="T8" s="66"/>
      <c r="U8" s="66"/>
      <c r="V8" s="40">
        <f>IFERROR(VLOOKUP(Q8,manual_tool_change_table[#All],4,FALSE),0)</f>
        <v>0</v>
      </c>
      <c r="W8" s="40">
        <f>IF(O8="No",F8*'Action Time'!$D$37,0)</f>
        <v>0</v>
      </c>
      <c r="X8" s="41">
        <f>IFERROR(VLOOKUP(T8,manipulation_table[#All],4,FALSE),0)</f>
        <v>0</v>
      </c>
      <c r="Y8" s="41">
        <f>IFERROR((VLOOKUP(S8,position_table[#All],4,FALSE)*F8)+(IF(S8='Action Time'!$A$3,0.36,0))+(IF(S8='Action Time'!$A$6,0.36,0))+(IF(S8='Action Time'!$A$8,'Action Time'!$D$8,0))+(IF(S8='Action Time'!$A$9,'Action Time'!$D$9,0)),0)</f>
        <v>0</v>
      </c>
      <c r="Z8" s="40">
        <f>IFERROR(VLOOKUP(E8,Connectors_Table[#All],4,FALSE)*F8,0)</f>
        <v>0</v>
      </c>
      <c r="AA8" s="41">
        <f>IFERROR(VLOOKUP(U8,removal_table[#All],4,FALSE),0)</f>
        <v>0</v>
      </c>
      <c r="AB8" s="40">
        <f t="shared" ref="AB8:AB28" si="3">SUM(V8:AA8)</f>
        <v>0</v>
      </c>
      <c r="AC8" s="40">
        <f>IFERROR(IF(N8="No", ,VLOOKUP(R8,robot_action_table[#All],2,FALSE)),0)</f>
        <v>0</v>
      </c>
      <c r="AD8" s="40">
        <f>IF(N8="Yes",VLOOKUP("Robot traversal",robot_action_table[#All],2,FALSE),0)</f>
        <v>0</v>
      </c>
      <c r="AE8" s="40">
        <f>IFERROR(IF(N8="No",,VLOOKUP(T8,manipulation_table[#All],5,FALSE)),0)</f>
        <v>0</v>
      </c>
      <c r="AF8" s="41">
        <f>IFERROR(IF(N8="No",,(VLOOKUP(S8,position_table[#All],5,FALSE)*F8)),0)</f>
        <v>0</v>
      </c>
      <c r="AG8" s="41">
        <f>IFERROR(IF(N8="No",,VLOOKUP(E8,Connectors_Table[#All],6,FALSE)*F8),0)</f>
        <v>0</v>
      </c>
      <c r="AH8" s="41">
        <f>IF(N8="Yes",IF(U8="No removal",0,VLOOKUP("Object removal",robot_action_table[],2,FALSE)),0)</f>
        <v>0</v>
      </c>
      <c r="AI8" s="41">
        <f t="shared" ref="AI8:AI28" si="4">SUM(AC8:AH8)</f>
        <v>0</v>
      </c>
      <c r="AJ8" s="41">
        <f t="shared" si="2"/>
        <v>0</v>
      </c>
      <c r="AK8" s="42">
        <f>IF(OR(AND(AJ7=0,AJ8&lt;&gt;0),AND(AJ8=0,AJ7&lt;&gt;0)),VLOOKUP("Task Changeover time",robot_action_table[#All],2,FALSE),0)</f>
        <v>0</v>
      </c>
      <c r="AL8" s="56"/>
      <c r="AM8" s="56"/>
    </row>
    <row r="9" spans="1:40" ht="25.65" customHeight="1" x14ac:dyDescent="0.3">
      <c r="A9" s="66">
        <v>5</v>
      </c>
      <c r="B9" s="67"/>
      <c r="C9" s="66"/>
      <c r="D9" s="66"/>
      <c r="E9" s="66"/>
      <c r="F9" s="66"/>
      <c r="G9" s="68"/>
      <c r="H9" s="68"/>
      <c r="I9" s="68"/>
      <c r="J9" s="68"/>
      <c r="K9" s="68"/>
      <c r="L9" s="68"/>
      <c r="M9" s="68"/>
      <c r="N9" s="68"/>
      <c r="O9" s="66"/>
      <c r="P9" s="66"/>
      <c r="Q9" s="66"/>
      <c r="R9" s="66"/>
      <c r="S9" s="69"/>
      <c r="T9" s="66"/>
      <c r="U9" s="66"/>
      <c r="V9" s="40">
        <f>IFERROR(VLOOKUP(Q9,manual_tool_change_table[#All],4,FALSE),0)</f>
        <v>0</v>
      </c>
      <c r="W9" s="40">
        <f>IF(O9="No",F9*'Action Time'!$D$37,0)</f>
        <v>0</v>
      </c>
      <c r="X9" s="41">
        <f>IFERROR(VLOOKUP(T9,manipulation_table[#All],4,FALSE),0)</f>
        <v>0</v>
      </c>
      <c r="Y9" s="41">
        <f>IFERROR((VLOOKUP(S9,position_table[#All],4,FALSE)*F9)+(IF(S9='Action Time'!$A$3,0.36,0))+(IF(S9='Action Time'!$A$6,0.36,0))+(IF(S9='Action Time'!$A$8,'Action Time'!$D$8,0))+(IF(S9='Action Time'!$A$9,'Action Time'!$D$9,0)),0)</f>
        <v>0</v>
      </c>
      <c r="Z9" s="40">
        <f>IFERROR(VLOOKUP(E9,Connectors_Table[#All],4,FALSE)*F9,0)</f>
        <v>0</v>
      </c>
      <c r="AA9" s="41">
        <f>IFERROR(VLOOKUP(U9,removal_table[#All],4,FALSE),0)</f>
        <v>0</v>
      </c>
      <c r="AB9" s="40">
        <f t="shared" si="3"/>
        <v>0</v>
      </c>
      <c r="AC9" s="40">
        <f>IFERROR(IF(N9="No", ,VLOOKUP(R9,robot_action_table[#All],2,FALSE)),0)</f>
        <v>0</v>
      </c>
      <c r="AD9" s="40">
        <f>IF(N9="Yes",VLOOKUP("Robot traversal",robot_action_table[#All],2,FALSE),0)</f>
        <v>0</v>
      </c>
      <c r="AE9" s="40">
        <f>IFERROR(IF(N9="No",,VLOOKUP(T9,manipulation_table[#All],5,FALSE)),0)</f>
        <v>0</v>
      </c>
      <c r="AF9" s="41">
        <f>IFERROR(IF(N9="No",,(VLOOKUP(S9,position_table[#All],5,FALSE)*F9)),0)</f>
        <v>0</v>
      </c>
      <c r="AG9" s="41">
        <f>IFERROR(IF(N9="No",,VLOOKUP(E9,Connectors_Table[#All],6,FALSE)*F9),0)</f>
        <v>0</v>
      </c>
      <c r="AH9" s="41">
        <f>IF(N9="Yes",IF(U9="No removal",0,VLOOKUP("Object removal",robot_action_table[],2,FALSE)),0)</f>
        <v>0</v>
      </c>
      <c r="AI9" s="41">
        <f t="shared" si="4"/>
        <v>0</v>
      </c>
      <c r="AJ9" s="41">
        <f t="shared" si="2"/>
        <v>0</v>
      </c>
      <c r="AK9" s="42">
        <f>IF(OR(AND(AJ8=0,AJ9&lt;&gt;0),AND(AJ9=0,AJ8&lt;&gt;0)),VLOOKUP("Task Changeover time",robot_action_table[#All],2,FALSE),0)</f>
        <v>0</v>
      </c>
      <c r="AL9" s="53"/>
      <c r="AM9" s="56"/>
    </row>
    <row r="10" spans="1:40" ht="25.65" customHeight="1" x14ac:dyDescent="0.3">
      <c r="A10" s="66">
        <v>6</v>
      </c>
      <c r="B10" s="67"/>
      <c r="C10" s="66"/>
      <c r="D10" s="66"/>
      <c r="E10" s="66"/>
      <c r="F10" s="66"/>
      <c r="G10" s="68"/>
      <c r="H10" s="68"/>
      <c r="I10" s="68"/>
      <c r="J10" s="68"/>
      <c r="K10" s="68"/>
      <c r="L10" s="68"/>
      <c r="M10" s="68"/>
      <c r="N10" s="68"/>
      <c r="O10" s="66"/>
      <c r="P10" s="66"/>
      <c r="Q10" s="66"/>
      <c r="R10" s="66"/>
      <c r="S10" s="66"/>
      <c r="T10" s="66"/>
      <c r="U10" s="66"/>
      <c r="V10" s="40">
        <f>IFERROR(VLOOKUP(Q10,manual_tool_change_table[#All],4,FALSE),0)</f>
        <v>0</v>
      </c>
      <c r="W10" s="40">
        <f>IF(O10="No",F10*'Action Time'!$D$37,0)</f>
        <v>0</v>
      </c>
      <c r="X10" s="41">
        <f>IFERROR(VLOOKUP(T10,manipulation_table[#All],4,FALSE),0)</f>
        <v>0</v>
      </c>
      <c r="Y10" s="41">
        <f>IFERROR((VLOOKUP(S10,position_table[#All],4,FALSE)*F10)+(IF(S10='Action Time'!$A$3,0.36,0))+(IF(S10='Action Time'!$A$6,0.36,0))+(IF(S10='Action Time'!$A$8,'Action Time'!$D$8,0))+(IF(S10='Action Time'!$A$9,'Action Time'!$D$9,0)),0)</f>
        <v>0</v>
      </c>
      <c r="Z10" s="40">
        <f>IFERROR(VLOOKUP(E10,Connectors_Table[#All],4,FALSE)*F10,0)</f>
        <v>0</v>
      </c>
      <c r="AA10" s="41">
        <f>IFERROR(VLOOKUP(U10,removal_table[#All],4,FALSE),0)</f>
        <v>0</v>
      </c>
      <c r="AB10" s="40">
        <f t="shared" si="3"/>
        <v>0</v>
      </c>
      <c r="AC10" s="40">
        <f>IFERROR(IF(N10="No", ,VLOOKUP(R10,robot_action_table[#All],2,FALSE)),0)</f>
        <v>0</v>
      </c>
      <c r="AD10" s="40">
        <f>IF(N10="Yes",VLOOKUP("Robot traversal",robot_action_table[#All],2,FALSE),0)</f>
        <v>0</v>
      </c>
      <c r="AE10" s="40">
        <f>IFERROR(IF(N10="No",,VLOOKUP(T10,manipulation_table[#All],5,FALSE)),0)</f>
        <v>0</v>
      </c>
      <c r="AF10" s="41">
        <f>IFERROR(IF(N10="No",,(VLOOKUP(S10,position_table[#All],5,FALSE)*F10)),0)</f>
        <v>0</v>
      </c>
      <c r="AG10" s="41">
        <f>IFERROR(IF(N10="No",,VLOOKUP(E10,Connectors_Table[#All],6,FALSE)*F10),0)</f>
        <v>0</v>
      </c>
      <c r="AH10" s="41">
        <f>IF(N10="Yes",IF(U10="No removal",0,VLOOKUP("Object removal",robot_action_table[],2,FALSE)),0)</f>
        <v>0</v>
      </c>
      <c r="AI10" s="41">
        <f t="shared" si="4"/>
        <v>0</v>
      </c>
      <c r="AJ10" s="41">
        <f t="shared" si="2"/>
        <v>0</v>
      </c>
      <c r="AK10" s="42">
        <f>IF(OR(AND(AJ9=0,AJ10&lt;&gt;0),AND(AJ10=0,AJ9&lt;&gt;0)),VLOOKUP("Task Changeover time",robot_action_table[#All],2,FALSE),0)</f>
        <v>0</v>
      </c>
      <c r="AL10" s="56"/>
      <c r="AM10" s="56"/>
    </row>
    <row r="11" spans="1:40" ht="28.65" customHeight="1" x14ac:dyDescent="0.3">
      <c r="A11" s="66">
        <v>7</v>
      </c>
      <c r="B11" s="67"/>
      <c r="C11" s="66"/>
      <c r="D11" s="66"/>
      <c r="E11" s="66"/>
      <c r="F11" s="66"/>
      <c r="G11" s="68"/>
      <c r="H11" s="68"/>
      <c r="I11" s="68"/>
      <c r="J11" s="68"/>
      <c r="K11" s="68"/>
      <c r="L11" s="68"/>
      <c r="M11" s="68"/>
      <c r="N11" s="68"/>
      <c r="O11" s="66"/>
      <c r="P11" s="66"/>
      <c r="Q11" s="66"/>
      <c r="R11" s="66"/>
      <c r="S11" s="66"/>
      <c r="T11" s="66"/>
      <c r="U11" s="66"/>
      <c r="V11" s="40">
        <f>IFERROR(VLOOKUP(Q11,manual_tool_change_table[#All],4,FALSE),0)</f>
        <v>0</v>
      </c>
      <c r="W11" s="40">
        <f>IF(O11="No",F11*'Action Time'!$D$37,0)</f>
        <v>0</v>
      </c>
      <c r="X11" s="41">
        <f>IFERROR(VLOOKUP(T11,manipulation_table[#All],4,FALSE),0)</f>
        <v>0</v>
      </c>
      <c r="Y11" s="41">
        <f>IFERROR((VLOOKUP(S11,position_table[#All],4,FALSE)*F11)+(IF(S11='Action Time'!$A$3,0.36,0))+(IF(S11='Action Time'!$A$6,0.36,0))+(IF(S11='Action Time'!$A$8,'Action Time'!$D$8,0))+(IF(S11='Action Time'!$A$9,'Action Time'!$D$9,0)),0)</f>
        <v>0</v>
      </c>
      <c r="Z11" s="40">
        <f>IFERROR(VLOOKUP(E11,Connectors_Table[#All],4,FALSE)*F11,0)</f>
        <v>0</v>
      </c>
      <c r="AA11" s="41">
        <f>IFERROR(VLOOKUP(U11,removal_table[#All],4,FALSE),0)</f>
        <v>0</v>
      </c>
      <c r="AB11" s="40">
        <f t="shared" si="3"/>
        <v>0</v>
      </c>
      <c r="AC11" s="40">
        <f>IFERROR(IF(N11="No", ,VLOOKUP(R11,robot_action_table[#All],2,FALSE)),0)</f>
        <v>0</v>
      </c>
      <c r="AD11" s="40">
        <f>IF(N11="Yes",VLOOKUP("Robot traversal",robot_action_table[#All],2,FALSE),0)</f>
        <v>0</v>
      </c>
      <c r="AE11" s="40">
        <f>IFERROR(IF(N11="No",,VLOOKUP(T11,manipulation_table[#All],5,FALSE)),0)</f>
        <v>0</v>
      </c>
      <c r="AF11" s="41">
        <f>IFERROR(IF(N11="No",,(VLOOKUP(S11,position_table[#All],5,FALSE)*F11)),0)</f>
        <v>0</v>
      </c>
      <c r="AG11" s="41">
        <f>IFERROR(IF(N11="No",,VLOOKUP(E11,Connectors_Table[#All],6,FALSE)*F11),0)</f>
        <v>0</v>
      </c>
      <c r="AH11" s="41">
        <f>IF(N11="Yes",IF(U11="No removal",0,VLOOKUP("Object removal",robot_action_table[],2,FALSE)),0)</f>
        <v>0</v>
      </c>
      <c r="AI11" s="41">
        <f t="shared" si="4"/>
        <v>0</v>
      </c>
      <c r="AJ11" s="41">
        <f t="shared" si="2"/>
        <v>0</v>
      </c>
      <c r="AK11" s="42">
        <f>IF(OR(AND(AJ10=0,AJ11&lt;&gt;0),AND(AJ11=0,AJ10&lt;&gt;0)),VLOOKUP("Task Changeover time",robot_action_table[#All],2,FALSE),0)</f>
        <v>0</v>
      </c>
      <c r="AL11" s="56"/>
      <c r="AM11" s="56"/>
    </row>
    <row r="12" spans="1:40" ht="25.65" customHeight="1" x14ac:dyDescent="0.3">
      <c r="A12" s="66">
        <v>8</v>
      </c>
      <c r="B12" s="67"/>
      <c r="C12" s="66"/>
      <c r="D12" s="66"/>
      <c r="E12" s="66"/>
      <c r="F12" s="66"/>
      <c r="G12" s="68"/>
      <c r="H12" s="68"/>
      <c r="I12" s="68"/>
      <c r="J12" s="68"/>
      <c r="K12" s="68"/>
      <c r="L12" s="68"/>
      <c r="M12" s="68"/>
      <c r="N12" s="68"/>
      <c r="O12" s="66"/>
      <c r="P12" s="66"/>
      <c r="Q12" s="66"/>
      <c r="R12" s="66"/>
      <c r="S12" s="66"/>
      <c r="T12" s="66"/>
      <c r="U12" s="66"/>
      <c r="V12" s="40">
        <f>IFERROR(VLOOKUP(Q12,manual_tool_change_table[#All],4,FALSE),0)</f>
        <v>0</v>
      </c>
      <c r="W12" s="40">
        <f>IF(O12="No",F12*'Action Time'!$D$37,0)</f>
        <v>0</v>
      </c>
      <c r="X12" s="41">
        <f>IFERROR(VLOOKUP(T12,manipulation_table[#All],4,FALSE),0)</f>
        <v>0</v>
      </c>
      <c r="Y12" s="41">
        <f>IFERROR((VLOOKUP(S12,position_table[#All],4,FALSE)*F12)+(IF(S12='Action Time'!$A$3,0.36,0))+(IF(S12='Action Time'!$A$6,0.36,0))+(IF(S12='Action Time'!$A$8,'Action Time'!$D$8,0))+(IF(S12='Action Time'!$A$9,'Action Time'!$D$9,0)),0)</f>
        <v>0</v>
      </c>
      <c r="Z12" s="40">
        <f>IFERROR(VLOOKUP(E12,Connectors_Table[#All],4,FALSE)*F12,0)</f>
        <v>0</v>
      </c>
      <c r="AA12" s="41">
        <f>IFERROR(VLOOKUP(U12,removal_table[#All],4,FALSE),0)</f>
        <v>0</v>
      </c>
      <c r="AB12" s="40">
        <f t="shared" si="3"/>
        <v>0</v>
      </c>
      <c r="AC12" s="40">
        <f>IFERROR(IF(N12="No", ,VLOOKUP(R12,robot_action_table[#All],2,FALSE)),0)</f>
        <v>0</v>
      </c>
      <c r="AD12" s="40">
        <f>IF(N12="Yes",VLOOKUP("Robot traversal",robot_action_table[#All],2,FALSE),0)</f>
        <v>0</v>
      </c>
      <c r="AE12" s="40">
        <f>IFERROR(IF(N12="No",,VLOOKUP(T12,manipulation_table[#All],5,FALSE)),0)</f>
        <v>0</v>
      </c>
      <c r="AF12" s="41">
        <f>IFERROR(IF(N12="No",,(VLOOKUP(S12,position_table[#All],5,FALSE)*F12)),0)</f>
        <v>0</v>
      </c>
      <c r="AG12" s="41">
        <f>IFERROR(IF(N12="No",,VLOOKUP(E12,Connectors_Table[#All],6,FALSE)*F12),0)</f>
        <v>0</v>
      </c>
      <c r="AH12" s="41">
        <f>IF(N12="Yes",IF(U12="No removal",0,VLOOKUP("Object removal",robot_action_table[],2,FALSE)),0)</f>
        <v>0</v>
      </c>
      <c r="AI12" s="41">
        <f t="shared" si="4"/>
        <v>0</v>
      </c>
      <c r="AJ12" s="41">
        <f t="shared" si="2"/>
        <v>0</v>
      </c>
      <c r="AK12" s="42">
        <f>IF(OR(AND(AJ11=0,AJ12&lt;&gt;0),AND(AJ12=0,AJ11&lt;&gt;0)),VLOOKUP("Task Changeover time",robot_action_table[#All],2,FALSE),0)</f>
        <v>0</v>
      </c>
      <c r="AL12" s="56"/>
      <c r="AM12" s="56"/>
    </row>
    <row r="13" spans="1:40" ht="25.65" customHeight="1" x14ac:dyDescent="0.3">
      <c r="A13" s="66">
        <v>9</v>
      </c>
      <c r="B13" s="67"/>
      <c r="C13" s="66"/>
      <c r="D13" s="66"/>
      <c r="E13" s="66"/>
      <c r="F13" s="66"/>
      <c r="G13" s="68"/>
      <c r="H13" s="68"/>
      <c r="I13" s="68"/>
      <c r="J13" s="68"/>
      <c r="K13" s="68"/>
      <c r="L13" s="68"/>
      <c r="M13" s="68"/>
      <c r="N13" s="68"/>
      <c r="O13" s="66"/>
      <c r="P13" s="66"/>
      <c r="Q13" s="66"/>
      <c r="R13" s="66"/>
      <c r="S13" s="66"/>
      <c r="T13" s="66"/>
      <c r="U13" s="66"/>
      <c r="V13" s="40">
        <f>IFERROR(VLOOKUP(Q13,manual_tool_change_table[#All],4,FALSE),0)</f>
        <v>0</v>
      </c>
      <c r="W13" s="40">
        <f>IF(O13="No",F13*'Action Time'!$D$37,0)</f>
        <v>0</v>
      </c>
      <c r="X13" s="41">
        <f>IFERROR(VLOOKUP(T13,manipulation_table[#All],4,FALSE),0)</f>
        <v>0</v>
      </c>
      <c r="Y13" s="41">
        <f>IFERROR((VLOOKUP(S13,position_table[#All],4,FALSE)*F13)+(IF(S13='Action Time'!$A$3,0.36,0))+(IF(S13='Action Time'!$A$6,0.36,0))+(IF(S13='Action Time'!$A$8,'Action Time'!$D$8,0))+(IF(S13='Action Time'!$A$9,'Action Time'!$D$9,0)),0)</f>
        <v>0</v>
      </c>
      <c r="Z13" s="40">
        <f>IFERROR(VLOOKUP(E13,Connectors_Table[#All],4,FALSE)*F13,0)</f>
        <v>0</v>
      </c>
      <c r="AA13" s="41">
        <f>IFERROR(VLOOKUP(U13,removal_table[#All],4,FALSE),0)</f>
        <v>0</v>
      </c>
      <c r="AB13" s="40">
        <f t="shared" si="3"/>
        <v>0</v>
      </c>
      <c r="AC13" s="40">
        <f>IFERROR(IF(N13="No", ,VLOOKUP(R13,robot_action_table[#All],2,FALSE)),0)</f>
        <v>0</v>
      </c>
      <c r="AD13" s="40">
        <f>IF(N13="Yes",VLOOKUP("Robot traversal",robot_action_table[#All],2,FALSE),0)</f>
        <v>0</v>
      </c>
      <c r="AE13" s="40">
        <f>IFERROR(IF(N13="No",,VLOOKUP(T13,manipulation_table[#All],5,FALSE)),0)</f>
        <v>0</v>
      </c>
      <c r="AF13" s="41">
        <f>IFERROR(IF(N13="No",,(VLOOKUP(S13,position_table[#All],5,FALSE)*F13)),0)</f>
        <v>0</v>
      </c>
      <c r="AG13" s="41">
        <f>IFERROR(IF(N13="No",,VLOOKUP(E13,Connectors_Table[#All],6,FALSE)*F13),0)</f>
        <v>0</v>
      </c>
      <c r="AH13" s="41">
        <f>IF(N13="Yes",IF(U13="No removal",0,VLOOKUP("Object removal",robot_action_table[],2,FALSE)),0)</f>
        <v>0</v>
      </c>
      <c r="AI13" s="41">
        <f t="shared" si="4"/>
        <v>0</v>
      </c>
      <c r="AJ13" s="41">
        <f t="shared" si="2"/>
        <v>0</v>
      </c>
      <c r="AK13" s="42">
        <f>IF(OR(AND(AJ12=0,AJ13&lt;&gt;0),AND(AJ13=0,AJ12&lt;&gt;0)),VLOOKUP("Task Changeover time",robot_action_table[#All],2,FALSE),0)</f>
        <v>0</v>
      </c>
      <c r="AL13" s="56"/>
      <c r="AM13" s="56"/>
    </row>
    <row r="14" spans="1:40" ht="28.65" customHeight="1" x14ac:dyDescent="0.3">
      <c r="A14" s="66">
        <v>10</v>
      </c>
      <c r="B14" s="67"/>
      <c r="C14" s="66"/>
      <c r="D14" s="66"/>
      <c r="E14" s="66"/>
      <c r="F14" s="66"/>
      <c r="G14" s="68"/>
      <c r="H14" s="68"/>
      <c r="I14" s="68"/>
      <c r="J14" s="68"/>
      <c r="K14" s="68"/>
      <c r="L14" s="68"/>
      <c r="M14" s="68"/>
      <c r="N14" s="68"/>
      <c r="O14" s="66"/>
      <c r="P14" s="66"/>
      <c r="Q14" s="66"/>
      <c r="R14" s="66"/>
      <c r="S14" s="66"/>
      <c r="T14" s="66"/>
      <c r="U14" s="66"/>
      <c r="V14" s="40">
        <f>IFERROR(VLOOKUP(Q14,manual_tool_change_table[#All],4,FALSE),0)</f>
        <v>0</v>
      </c>
      <c r="W14" s="40">
        <f>IF(O14="No",F14*'Action Time'!$D$37,0)</f>
        <v>0</v>
      </c>
      <c r="X14" s="41">
        <f>IFERROR(VLOOKUP(T14,manipulation_table[#All],4,FALSE),0)</f>
        <v>0</v>
      </c>
      <c r="Y14" s="41">
        <f>IFERROR((VLOOKUP(S14,position_table[#All],4,FALSE)*F14)+(IF(S14='Action Time'!$A$3,0.36,0))+(IF(S14='Action Time'!$A$6,0.36,0))+(IF(S14='Action Time'!$A$8,'Action Time'!$D$8,0))+(IF(S14='Action Time'!$A$9,'Action Time'!$D$9,0)),0)</f>
        <v>0</v>
      </c>
      <c r="Z14" s="40">
        <f>IFERROR(VLOOKUP(E14,Connectors_Table[#All],4,FALSE)*F14,0)</f>
        <v>0</v>
      </c>
      <c r="AA14" s="41">
        <f>IFERROR(VLOOKUP(U14,removal_table[#All],4,FALSE),0)</f>
        <v>0</v>
      </c>
      <c r="AB14" s="40">
        <f t="shared" si="3"/>
        <v>0</v>
      </c>
      <c r="AC14" s="40">
        <f>IFERROR(IF(N14="No", ,VLOOKUP(R14,robot_action_table[#All],2,FALSE)),0)</f>
        <v>0</v>
      </c>
      <c r="AD14" s="40">
        <f>IF(N14="Yes",VLOOKUP("Robot traversal",robot_action_table[#All],2,FALSE),0)</f>
        <v>0</v>
      </c>
      <c r="AE14" s="40">
        <f>IFERROR(IF(N14="No",,VLOOKUP(T14,manipulation_table[#All],5,FALSE)),0)</f>
        <v>0</v>
      </c>
      <c r="AF14" s="41">
        <f>IFERROR(IF(N14="No",,(VLOOKUP(S14,position_table[#All],5,FALSE)*F14)),0)</f>
        <v>0</v>
      </c>
      <c r="AG14" s="41">
        <f>IFERROR(IF(N14="No",,VLOOKUP(E14,Connectors_Table[#All],6,FALSE)*F14),0)</f>
        <v>0</v>
      </c>
      <c r="AH14" s="41">
        <f>IF(N14="Yes",IF(U14="No removal",0,VLOOKUP("Object removal",robot_action_table[],2,FALSE)),0)</f>
        <v>0</v>
      </c>
      <c r="AI14" s="41">
        <f t="shared" si="4"/>
        <v>0</v>
      </c>
      <c r="AJ14" s="41">
        <f t="shared" si="2"/>
        <v>0</v>
      </c>
      <c r="AK14" s="42">
        <f>IF(OR(AND(AJ13=0,AJ14&lt;&gt;0),AND(AJ14=0,AJ13&lt;&gt;0)),VLOOKUP("Task Changeover time",robot_action_table[#All],2,FALSE),0)</f>
        <v>0</v>
      </c>
      <c r="AL14" s="56"/>
      <c r="AM14" s="56"/>
    </row>
    <row r="15" spans="1:40" ht="25.65" customHeight="1" x14ac:dyDescent="0.3">
      <c r="A15" s="66">
        <v>11</v>
      </c>
      <c r="B15" s="67"/>
      <c r="C15" s="66"/>
      <c r="D15" s="66"/>
      <c r="E15" s="66"/>
      <c r="F15" s="66"/>
      <c r="G15" s="68"/>
      <c r="H15" s="68"/>
      <c r="I15" s="68"/>
      <c r="J15" s="68"/>
      <c r="K15" s="68"/>
      <c r="L15" s="68"/>
      <c r="M15" s="68"/>
      <c r="N15" s="68"/>
      <c r="O15" s="66"/>
      <c r="P15" s="66"/>
      <c r="Q15" s="66"/>
      <c r="R15" s="66"/>
      <c r="S15" s="66"/>
      <c r="T15" s="66"/>
      <c r="U15" s="66"/>
      <c r="V15" s="40">
        <f>IFERROR(VLOOKUP(Q15,manual_tool_change_table[#All],4,FALSE),0)</f>
        <v>0</v>
      </c>
      <c r="W15" s="40">
        <f>IF(O15="No",F15*'Action Time'!$D$37,0)</f>
        <v>0</v>
      </c>
      <c r="X15" s="41">
        <f>IFERROR(VLOOKUP(T15,manipulation_table[#All],4,FALSE),0)</f>
        <v>0</v>
      </c>
      <c r="Y15" s="41">
        <f>IFERROR((VLOOKUP(S15,position_table[#All],4,FALSE)*F15)+(IF(S15='Action Time'!$A$3,0.36,0))+(IF(S15='Action Time'!$A$6,0.36,0))+(IF(S15='Action Time'!$A$8,'Action Time'!$D$8,0))+(IF(S15='Action Time'!$A$9,'Action Time'!$D$9,0)),0)</f>
        <v>0</v>
      </c>
      <c r="Z15" s="40">
        <f>IFERROR(VLOOKUP(E15,Connectors_Table[#All],4,FALSE)*F15,0)</f>
        <v>0</v>
      </c>
      <c r="AA15" s="41">
        <f>IFERROR(VLOOKUP(U15,removal_table[#All],4,FALSE),0)</f>
        <v>0</v>
      </c>
      <c r="AB15" s="40">
        <f t="shared" si="3"/>
        <v>0</v>
      </c>
      <c r="AC15" s="40">
        <f>IFERROR(IF(N15="No", ,VLOOKUP(R15,robot_action_table[#All],2,FALSE)),0)</f>
        <v>0</v>
      </c>
      <c r="AD15" s="40">
        <f>IF(N15="Yes",VLOOKUP("Robot traversal",robot_action_table[#All],2,FALSE),0)</f>
        <v>0</v>
      </c>
      <c r="AE15" s="40">
        <f>IFERROR(IF(N15="No",,VLOOKUP(T15,manipulation_table[#All],5,FALSE)),0)</f>
        <v>0</v>
      </c>
      <c r="AF15" s="41">
        <f>IFERROR(IF(N15="No",,(VLOOKUP(S15,position_table[#All],5,FALSE)*F15)),0)</f>
        <v>0</v>
      </c>
      <c r="AG15" s="41">
        <f>IFERROR(IF(N15="No",,VLOOKUP(E15,Connectors_Table[#All],6,FALSE)*F15),0)</f>
        <v>0</v>
      </c>
      <c r="AH15" s="41">
        <f>IF(N15="Yes",IF(U15="No removal",0,VLOOKUP("Object removal",robot_action_table[],2,FALSE)),0)</f>
        <v>0</v>
      </c>
      <c r="AI15" s="41">
        <f t="shared" si="4"/>
        <v>0</v>
      </c>
      <c r="AJ15" s="41">
        <f t="shared" si="2"/>
        <v>0</v>
      </c>
      <c r="AK15" s="42">
        <f>IF(OR(AND(AJ14=0,AJ15&lt;&gt;0),AND(AJ15=0,AJ14&lt;&gt;0)),VLOOKUP("Task Changeover time",robot_action_table[#All],2,FALSE),0)</f>
        <v>0</v>
      </c>
      <c r="AL15" s="56"/>
      <c r="AM15" s="56"/>
    </row>
    <row r="16" spans="1:40" ht="26.4" customHeight="1" x14ac:dyDescent="0.3">
      <c r="A16" s="66">
        <v>12</v>
      </c>
      <c r="B16" s="67"/>
      <c r="C16" s="66"/>
      <c r="D16" s="66"/>
      <c r="E16" s="66"/>
      <c r="F16" s="66"/>
      <c r="G16" s="68"/>
      <c r="H16" s="68"/>
      <c r="I16" s="68"/>
      <c r="J16" s="68"/>
      <c r="K16" s="68"/>
      <c r="L16" s="68"/>
      <c r="M16" s="68"/>
      <c r="N16" s="68"/>
      <c r="O16" s="66"/>
      <c r="P16" s="66"/>
      <c r="Q16" s="66"/>
      <c r="R16" s="66"/>
      <c r="S16" s="66"/>
      <c r="T16" s="66"/>
      <c r="U16" s="66"/>
      <c r="V16" s="40">
        <f>IFERROR(VLOOKUP(Q16,manual_tool_change_table[#All],4,FALSE),0)</f>
        <v>0</v>
      </c>
      <c r="W16" s="40">
        <f>IF(O16="No",F16*'Action Time'!$D$37,0)</f>
        <v>0</v>
      </c>
      <c r="X16" s="41">
        <f>IFERROR(VLOOKUP(T16,manipulation_table[#All],4,FALSE),0)</f>
        <v>0</v>
      </c>
      <c r="Y16" s="41">
        <f>IFERROR((VLOOKUP(S16,position_table[#All],4,FALSE)*F16)+(IF(S16='Action Time'!$A$3,0.36,0))+(IF(S16='Action Time'!$A$6,0.36,0))+(IF(S16='Action Time'!$A$8,'Action Time'!$D$8,0))+(IF(S16='Action Time'!$A$9,'Action Time'!$D$9,0)),0)</f>
        <v>0</v>
      </c>
      <c r="Z16" s="40">
        <f>IFERROR(VLOOKUP(E16,Connectors_Table[#All],4,FALSE)*F16,0)</f>
        <v>0</v>
      </c>
      <c r="AA16" s="41">
        <f>IFERROR(VLOOKUP(U16,removal_table[#All],4,FALSE),0)</f>
        <v>0</v>
      </c>
      <c r="AB16" s="40">
        <f t="shared" si="3"/>
        <v>0</v>
      </c>
      <c r="AC16" s="40">
        <f>IFERROR(IF(N16="No", ,VLOOKUP(R16,robot_action_table[#All],2,FALSE)),0)</f>
        <v>0</v>
      </c>
      <c r="AD16" s="40">
        <f>IF(N16="Yes",VLOOKUP("Robot traversal",robot_action_table[#All],2,FALSE),0)</f>
        <v>0</v>
      </c>
      <c r="AE16" s="40">
        <f>IFERROR(IF(N16="No",,VLOOKUP(T16,manipulation_table[#All],5,FALSE)),0)</f>
        <v>0</v>
      </c>
      <c r="AF16" s="41">
        <f>IFERROR(IF(N16="No",,(VLOOKUP(S16,position_table[#All],5,FALSE)*F16)),0)</f>
        <v>0</v>
      </c>
      <c r="AG16" s="41">
        <f>IFERROR(IF(N16="No",,VLOOKUP(E16,Connectors_Table[#All],6,FALSE)*F16),0)</f>
        <v>0</v>
      </c>
      <c r="AH16" s="41">
        <f>IF(N16="Yes",IF(U16="No removal",0,VLOOKUP("Object removal",robot_action_table[],2,FALSE)),0)</f>
        <v>0</v>
      </c>
      <c r="AI16" s="41">
        <f t="shared" si="4"/>
        <v>0</v>
      </c>
      <c r="AJ16" s="41">
        <f t="shared" si="2"/>
        <v>0</v>
      </c>
      <c r="AK16" s="42">
        <f>IF(OR(AND(AJ15=0,AJ16&lt;&gt;0),AND(AJ16=0,AJ15&lt;&gt;0)),VLOOKUP("Task Changeover time",robot_action_table[#All],2,FALSE),0)</f>
        <v>0</v>
      </c>
      <c r="AL16" s="56"/>
      <c r="AM16" s="56"/>
    </row>
    <row r="17" spans="1:39" ht="26.4" customHeight="1" x14ac:dyDescent="0.3">
      <c r="A17" s="66">
        <v>13</v>
      </c>
      <c r="B17" s="67"/>
      <c r="C17" s="66"/>
      <c r="D17" s="66"/>
      <c r="E17" s="66"/>
      <c r="F17" s="66"/>
      <c r="G17" s="68"/>
      <c r="H17" s="68"/>
      <c r="I17" s="68"/>
      <c r="J17" s="68"/>
      <c r="K17" s="68"/>
      <c r="L17" s="68"/>
      <c r="M17" s="68"/>
      <c r="N17" s="68"/>
      <c r="O17" s="66"/>
      <c r="P17" s="66"/>
      <c r="Q17" s="66"/>
      <c r="R17" s="66"/>
      <c r="S17" s="66"/>
      <c r="T17" s="66"/>
      <c r="U17" s="66"/>
      <c r="V17" s="40">
        <f>IFERROR(VLOOKUP(Q17,manual_tool_change_table[#All],4,FALSE),0)</f>
        <v>0</v>
      </c>
      <c r="W17" s="40">
        <f>IF(O17="No",F17*'Action Time'!$D$37,0)</f>
        <v>0</v>
      </c>
      <c r="X17" s="41">
        <f>IFERROR(VLOOKUP(T17,manipulation_table[#All],4,FALSE),0)</f>
        <v>0</v>
      </c>
      <c r="Y17" s="41">
        <f>IFERROR((VLOOKUP(S17,position_table[#All],4,FALSE)*F17)+(IF(S17='Action Time'!$A$3,0.36,0))+(IF(S17='Action Time'!$A$6,0.36,0))+(IF(S17='Action Time'!$A$8,'Action Time'!$D$8,0))+(IF(S17='Action Time'!$A$9,'Action Time'!$D$9,0)),0)</f>
        <v>0</v>
      </c>
      <c r="Z17" s="40">
        <f>IFERROR(VLOOKUP(E17,Connectors_Table[#All],4,FALSE)*F17,0)</f>
        <v>0</v>
      </c>
      <c r="AA17" s="41">
        <f>IFERROR(VLOOKUP(U17,removal_table[#All],4,FALSE),0)</f>
        <v>0</v>
      </c>
      <c r="AB17" s="40">
        <f t="shared" si="3"/>
        <v>0</v>
      </c>
      <c r="AC17" s="40">
        <f>IFERROR(IF(N17="No", ,VLOOKUP(R17,robot_action_table[#All],2,FALSE)),0)</f>
        <v>0</v>
      </c>
      <c r="AD17" s="40">
        <f>IF(N17="Yes",VLOOKUP("Robot traversal",robot_action_table[#All],2,FALSE),0)</f>
        <v>0</v>
      </c>
      <c r="AE17" s="40">
        <f>IFERROR(IF(N17="No",,VLOOKUP(T17,manipulation_table[#All],5,FALSE)),0)</f>
        <v>0</v>
      </c>
      <c r="AF17" s="41">
        <f>IFERROR(IF(N17="No",,(VLOOKUP(S17,position_table[#All],5,FALSE)*F17)),0)</f>
        <v>0</v>
      </c>
      <c r="AG17" s="41">
        <f>IFERROR(IF(N17="No",,VLOOKUP(E17,Connectors_Table[#All],6,FALSE)*F17),0)</f>
        <v>0</v>
      </c>
      <c r="AH17" s="41">
        <f>IF(N17="Yes",IF(U17="No removal",0,VLOOKUP("Object removal",robot_action_table[],2,FALSE)),0)</f>
        <v>0</v>
      </c>
      <c r="AI17" s="41">
        <f t="shared" si="4"/>
        <v>0</v>
      </c>
      <c r="AJ17" s="41">
        <f t="shared" si="2"/>
        <v>0</v>
      </c>
      <c r="AK17" s="42">
        <f>IF(OR(AND(AJ16=0,AJ17&lt;&gt;0),AND(AJ17=0,AJ16&lt;&gt;0)),VLOOKUP("Task Changeover time",robot_action_table[#All],2,FALSE),0)</f>
        <v>0</v>
      </c>
      <c r="AL17" s="56"/>
      <c r="AM17" s="56"/>
    </row>
    <row r="18" spans="1:39" ht="26.4" customHeight="1" x14ac:dyDescent="0.3">
      <c r="A18" s="66">
        <v>14</v>
      </c>
      <c r="B18" s="67"/>
      <c r="C18" s="66"/>
      <c r="D18" s="66"/>
      <c r="E18" s="66"/>
      <c r="F18" s="66"/>
      <c r="G18" s="68"/>
      <c r="H18" s="68"/>
      <c r="I18" s="68"/>
      <c r="J18" s="68"/>
      <c r="K18" s="68"/>
      <c r="L18" s="68"/>
      <c r="M18" s="68"/>
      <c r="N18" s="68"/>
      <c r="O18" s="66"/>
      <c r="P18" s="66"/>
      <c r="Q18" s="66"/>
      <c r="R18" s="66"/>
      <c r="S18" s="66"/>
      <c r="T18" s="66"/>
      <c r="U18" s="66"/>
      <c r="V18" s="40">
        <f>IFERROR(VLOOKUP(Q18,manual_tool_change_table[#All],4,FALSE),0)</f>
        <v>0</v>
      </c>
      <c r="W18" s="40">
        <f>IF(O18="No",F18*'Action Time'!$D$37,0)</f>
        <v>0</v>
      </c>
      <c r="X18" s="41">
        <f>IFERROR(VLOOKUP(T18,manipulation_table[#All],4,FALSE),0)</f>
        <v>0</v>
      </c>
      <c r="Y18" s="41">
        <f>IFERROR((VLOOKUP(S18,position_table[#All],4,FALSE)*F18)+(IF(S18='Action Time'!$A$3,0.36,0))+(IF(S18='Action Time'!$A$6,0.36,0))+(IF(S18='Action Time'!$A$8,'Action Time'!$D$8,0))+(IF(S18='Action Time'!$A$9,'Action Time'!$D$9,0)),0)</f>
        <v>0</v>
      </c>
      <c r="Z18" s="40">
        <f>IFERROR(VLOOKUP(E18,Connectors_Table[#All],4,FALSE)*F18,0)</f>
        <v>0</v>
      </c>
      <c r="AA18" s="41">
        <f>IFERROR(VLOOKUP(U18,removal_table[#All],4,FALSE),0)</f>
        <v>0</v>
      </c>
      <c r="AB18" s="40">
        <f t="shared" si="3"/>
        <v>0</v>
      </c>
      <c r="AC18" s="40">
        <f>IFERROR(IF(N18="No", ,VLOOKUP(R18,robot_action_table[#All],2,FALSE)),0)</f>
        <v>0</v>
      </c>
      <c r="AD18" s="40">
        <f>IF(N18="Yes",VLOOKUP("Robot traversal",robot_action_table[#All],2,FALSE),0)</f>
        <v>0</v>
      </c>
      <c r="AE18" s="40">
        <f>IFERROR(IF(N18="No",,VLOOKUP(T18,manipulation_table[#All],5,FALSE)),0)</f>
        <v>0</v>
      </c>
      <c r="AF18" s="41">
        <f>IFERROR(IF(N18="No",,(VLOOKUP(S18,position_table[#All],5,FALSE)*F18)),0)</f>
        <v>0</v>
      </c>
      <c r="AG18" s="41">
        <f>IFERROR(IF(N18="No",,VLOOKUP(E18,Connectors_Table[#All],6,FALSE)*F18),0)</f>
        <v>0</v>
      </c>
      <c r="AH18" s="41">
        <f>IF(N18="Yes",IF(U18="No removal",0,VLOOKUP("Object removal",robot_action_table[],2,FALSE)),0)</f>
        <v>0</v>
      </c>
      <c r="AI18" s="41">
        <f t="shared" si="4"/>
        <v>0</v>
      </c>
      <c r="AJ18" s="41">
        <f t="shared" si="2"/>
        <v>0</v>
      </c>
      <c r="AK18" s="42">
        <f>IF(OR(AND(AJ17=0,AJ18&lt;&gt;0),AND(AJ18=0,AJ17&lt;&gt;0)),VLOOKUP("Task Changeover time",robot_action_table[#All],2,FALSE),0)</f>
        <v>0</v>
      </c>
      <c r="AL18" s="56"/>
      <c r="AM18" s="56"/>
    </row>
    <row r="19" spans="1:39" ht="26.4" customHeight="1" x14ac:dyDescent="0.3">
      <c r="A19" s="66">
        <v>15</v>
      </c>
      <c r="B19" s="67"/>
      <c r="C19" s="66"/>
      <c r="D19" s="66"/>
      <c r="E19" s="66"/>
      <c r="F19" s="66"/>
      <c r="G19" s="68"/>
      <c r="H19" s="68"/>
      <c r="I19" s="68"/>
      <c r="J19" s="68"/>
      <c r="K19" s="68"/>
      <c r="L19" s="68"/>
      <c r="M19" s="68"/>
      <c r="N19" s="68"/>
      <c r="O19" s="66"/>
      <c r="P19" s="66"/>
      <c r="Q19" s="66"/>
      <c r="R19" s="66"/>
      <c r="S19" s="66"/>
      <c r="T19" s="66"/>
      <c r="U19" s="66"/>
      <c r="V19" s="40">
        <f>IFERROR(VLOOKUP(Q19,manual_tool_change_table[#All],4,FALSE),0)</f>
        <v>0</v>
      </c>
      <c r="W19" s="40">
        <f>IF(O19="No",F19*'Action Time'!$D$37,0)</f>
        <v>0</v>
      </c>
      <c r="X19" s="41">
        <f>IFERROR(VLOOKUP(T19,manipulation_table[#All],4,FALSE),0)</f>
        <v>0</v>
      </c>
      <c r="Y19" s="41">
        <f>IFERROR((VLOOKUP(S19,position_table[#All],4,FALSE)*F19)+(IF(S19='Action Time'!$A$3,0.36,0))+(IF(S19='Action Time'!$A$6,0.36,0))+(IF(S19='Action Time'!$A$8,'Action Time'!$D$8,0))+(IF(S19='Action Time'!$A$9,'Action Time'!$D$9,0)),0)</f>
        <v>0</v>
      </c>
      <c r="Z19" s="40">
        <f>IFERROR(VLOOKUP(E19,Connectors_Table[#All],4,FALSE)*F19,0)</f>
        <v>0</v>
      </c>
      <c r="AA19" s="41">
        <f>IFERROR(VLOOKUP(U19,removal_table[#All],4,FALSE),0)</f>
        <v>0</v>
      </c>
      <c r="AB19" s="40">
        <f t="shared" si="3"/>
        <v>0</v>
      </c>
      <c r="AC19" s="40">
        <f>IFERROR(IF(N19="No", ,VLOOKUP(R19,robot_action_table[#All],2,FALSE)),0)</f>
        <v>0</v>
      </c>
      <c r="AD19" s="40">
        <f>IF(N19="Yes",VLOOKUP("Robot traversal",robot_action_table[#All],2,FALSE),0)</f>
        <v>0</v>
      </c>
      <c r="AE19" s="40">
        <f>IFERROR(IF(N19="No",,VLOOKUP(T19,manipulation_table[#All],5,FALSE)),0)</f>
        <v>0</v>
      </c>
      <c r="AF19" s="41">
        <f>IFERROR(IF(N19="No",,(VLOOKUP(S19,position_table[#All],5,FALSE)*F19)),0)</f>
        <v>0</v>
      </c>
      <c r="AG19" s="41">
        <f>IFERROR(IF(N19="No",,VLOOKUP(E19,Connectors_Table[#All],6,FALSE)*F19),0)</f>
        <v>0</v>
      </c>
      <c r="AH19" s="41">
        <f>IF(N19="Yes",IF(U19="No removal",0,VLOOKUP("Object removal",robot_action_table[],2,FALSE)),0)</f>
        <v>0</v>
      </c>
      <c r="AI19" s="41">
        <f t="shared" si="4"/>
        <v>0</v>
      </c>
      <c r="AJ19" s="41">
        <f t="shared" si="2"/>
        <v>0</v>
      </c>
      <c r="AK19" s="42">
        <f>IF(OR(AND(AJ18=0,AJ19&lt;&gt;0),AND(AJ19=0,AJ18&lt;&gt;0)),VLOOKUP("Task Changeover time",robot_action_table[#All],2,FALSE),0)</f>
        <v>0</v>
      </c>
      <c r="AL19" s="56"/>
      <c r="AM19" s="56"/>
    </row>
    <row r="20" spans="1:39" ht="26.4" customHeight="1" x14ac:dyDescent="0.3">
      <c r="A20" s="66">
        <v>16</v>
      </c>
      <c r="B20" s="67"/>
      <c r="C20" s="66"/>
      <c r="D20" s="66"/>
      <c r="E20" s="66"/>
      <c r="F20" s="66"/>
      <c r="G20" s="68"/>
      <c r="H20" s="68"/>
      <c r="I20" s="68"/>
      <c r="J20" s="68"/>
      <c r="K20" s="68"/>
      <c r="L20" s="68"/>
      <c r="M20" s="68"/>
      <c r="N20" s="68"/>
      <c r="O20" s="66"/>
      <c r="P20" s="66"/>
      <c r="Q20" s="66"/>
      <c r="R20" s="66"/>
      <c r="S20" s="66"/>
      <c r="T20" s="66"/>
      <c r="U20" s="66"/>
      <c r="V20" s="40">
        <f>IFERROR(VLOOKUP(Q20,manual_tool_change_table[#All],4,FALSE),0)</f>
        <v>0</v>
      </c>
      <c r="W20" s="40">
        <f>IF(O20="No",F20*'Action Time'!$D$37,0)</f>
        <v>0</v>
      </c>
      <c r="X20" s="41">
        <f>IFERROR(VLOOKUP(T20,manipulation_table[#All],4,FALSE),0)</f>
        <v>0</v>
      </c>
      <c r="Y20" s="41">
        <f>IFERROR((VLOOKUP(S20,position_table[#All],4,FALSE)*F20)+(IF(S20='Action Time'!$A$3,0.36,0))+(IF(S20='Action Time'!$A$6,0.36,0))+(IF(S20='Action Time'!$A$8,'Action Time'!$D$8,0))+(IF(S20='Action Time'!$A$9,'Action Time'!$D$9,0)),0)</f>
        <v>0</v>
      </c>
      <c r="Z20" s="40">
        <f>IFERROR(VLOOKUP(E20,Connectors_Table[#All],4,FALSE)*F20,0)</f>
        <v>0</v>
      </c>
      <c r="AA20" s="41">
        <f>IFERROR(VLOOKUP(U20,removal_table[#All],4,FALSE),0)</f>
        <v>0</v>
      </c>
      <c r="AB20" s="40">
        <f t="shared" si="3"/>
        <v>0</v>
      </c>
      <c r="AC20" s="40">
        <f>IFERROR(IF(N20="No", ,VLOOKUP(R20,robot_action_table[#All],2,FALSE)),0)</f>
        <v>0</v>
      </c>
      <c r="AD20" s="40">
        <f>IF(N20="Yes",VLOOKUP("Robot traversal",robot_action_table[#All],2,FALSE),0)</f>
        <v>0</v>
      </c>
      <c r="AE20" s="40">
        <f>IFERROR(IF(N20="No",,VLOOKUP(T20,manipulation_table[#All],5,FALSE)),0)</f>
        <v>0</v>
      </c>
      <c r="AF20" s="41">
        <f>IFERROR(IF(N20="No",,(VLOOKUP(S20,position_table[#All],5,FALSE)*F20)),0)</f>
        <v>0</v>
      </c>
      <c r="AG20" s="41">
        <f>IFERROR(IF(N20="No",,VLOOKUP(E20,Connectors_Table[#All],6,FALSE)*F20),0)</f>
        <v>0</v>
      </c>
      <c r="AH20" s="41">
        <f>IF(N20="Yes",IF(U20="No removal",0,VLOOKUP("Object removal",robot_action_table[],2,FALSE)),0)</f>
        <v>0</v>
      </c>
      <c r="AI20" s="41">
        <f t="shared" si="4"/>
        <v>0</v>
      </c>
      <c r="AJ20" s="41">
        <f t="shared" si="2"/>
        <v>0</v>
      </c>
      <c r="AK20" s="42">
        <f>IF(OR(AND(AJ19=0,AJ20&lt;&gt;0),AND(AJ20=0,AJ19&lt;&gt;0)),VLOOKUP("Task Changeover time",robot_action_table[#All],2,FALSE),0)</f>
        <v>0</v>
      </c>
      <c r="AL20" s="56"/>
      <c r="AM20" s="56"/>
    </row>
    <row r="21" spans="1:39" ht="26.4" customHeight="1" x14ac:dyDescent="0.3">
      <c r="A21" s="66">
        <v>17</v>
      </c>
      <c r="B21" s="67"/>
      <c r="C21" s="66"/>
      <c r="D21" s="66"/>
      <c r="E21" s="66"/>
      <c r="F21" s="66"/>
      <c r="G21" s="68"/>
      <c r="H21" s="68"/>
      <c r="I21" s="68"/>
      <c r="J21" s="68"/>
      <c r="K21" s="68"/>
      <c r="L21" s="68"/>
      <c r="M21" s="68"/>
      <c r="N21" s="68"/>
      <c r="O21" s="66"/>
      <c r="P21" s="66"/>
      <c r="Q21" s="66"/>
      <c r="R21" s="66"/>
      <c r="S21" s="66"/>
      <c r="T21" s="66"/>
      <c r="U21" s="66"/>
      <c r="V21" s="40">
        <f>IFERROR(VLOOKUP(Q21,manual_tool_change_table[#All],4,FALSE),0)</f>
        <v>0</v>
      </c>
      <c r="W21" s="40">
        <f>IF(O21="No",F21*'Action Time'!$D$37,0)</f>
        <v>0</v>
      </c>
      <c r="X21" s="41">
        <f>IFERROR(VLOOKUP(T21,manipulation_table[#All],4,FALSE),0)</f>
        <v>0</v>
      </c>
      <c r="Y21" s="41">
        <f>IFERROR((VLOOKUP(S21,position_table[#All],4,FALSE)*F21)+(IF(S21='Action Time'!$A$3,0.36,0))+(IF(S21='Action Time'!$A$6,0.36,0))+(IF(S21='Action Time'!$A$8,'Action Time'!$D$8,0))+(IF(S21='Action Time'!$A$9,'Action Time'!$D$9,0)),0)</f>
        <v>0</v>
      </c>
      <c r="Z21" s="40">
        <f>IFERROR(VLOOKUP(E21,Connectors_Table[#All],4,FALSE)*F21,0)</f>
        <v>0</v>
      </c>
      <c r="AA21" s="41">
        <f>IFERROR(VLOOKUP(U21,removal_table[#All],4,FALSE),0)</f>
        <v>0</v>
      </c>
      <c r="AB21" s="40">
        <f t="shared" si="3"/>
        <v>0</v>
      </c>
      <c r="AC21" s="40">
        <f>IFERROR(IF(N21="No", ,VLOOKUP(R21,robot_action_table[#All],2,FALSE)),0)</f>
        <v>0</v>
      </c>
      <c r="AD21" s="40">
        <f>IF(N21="Yes",VLOOKUP("Robot traversal",robot_action_table[#All],2,FALSE),0)</f>
        <v>0</v>
      </c>
      <c r="AE21" s="40">
        <f>IFERROR(IF(N21="No",,VLOOKUP(T21,manipulation_table[#All],5,FALSE)),0)</f>
        <v>0</v>
      </c>
      <c r="AF21" s="41">
        <f>IFERROR(IF(N21="No",,(VLOOKUP(S21,position_table[#All],5,FALSE)*F21)),0)</f>
        <v>0</v>
      </c>
      <c r="AG21" s="41">
        <f>IFERROR(IF(N21="No",,VLOOKUP(E21,Connectors_Table[#All],6,FALSE)*F21),0)</f>
        <v>0</v>
      </c>
      <c r="AH21" s="41">
        <f>IF(N21="Yes",IF(U21="No removal",0,VLOOKUP("Object removal",robot_action_table[],2,FALSE)),0)</f>
        <v>0</v>
      </c>
      <c r="AI21" s="41">
        <f t="shared" si="4"/>
        <v>0</v>
      </c>
      <c r="AJ21" s="41">
        <f t="shared" si="2"/>
        <v>0</v>
      </c>
      <c r="AK21" s="42">
        <f>IF(OR(AND(AJ20=0,AJ21&lt;&gt;0),AND(AJ21=0,AJ20&lt;&gt;0)),VLOOKUP("Task Changeover time",robot_action_table[#All],2,FALSE),0)</f>
        <v>0</v>
      </c>
      <c r="AL21" s="56"/>
      <c r="AM21" s="56"/>
    </row>
    <row r="22" spans="1:39" ht="26.4" customHeight="1" x14ac:dyDescent="0.3">
      <c r="A22" s="66">
        <v>18</v>
      </c>
      <c r="B22" s="67"/>
      <c r="C22" s="66"/>
      <c r="D22" s="66"/>
      <c r="E22" s="66"/>
      <c r="F22" s="66"/>
      <c r="G22" s="68"/>
      <c r="H22" s="68"/>
      <c r="I22" s="68"/>
      <c r="J22" s="68"/>
      <c r="K22" s="68"/>
      <c r="L22" s="68"/>
      <c r="M22" s="68"/>
      <c r="N22" s="68"/>
      <c r="O22" s="66"/>
      <c r="P22" s="66"/>
      <c r="Q22" s="66"/>
      <c r="R22" s="66"/>
      <c r="S22" s="66"/>
      <c r="T22" s="66"/>
      <c r="U22" s="66"/>
      <c r="V22" s="40">
        <f>IFERROR(VLOOKUP(Q22,manual_tool_change_table[#All],4,FALSE),0)</f>
        <v>0</v>
      </c>
      <c r="W22" s="40">
        <f>IF(O22="No",F22*'Action Time'!$D$37,0)</f>
        <v>0</v>
      </c>
      <c r="X22" s="41">
        <f>IFERROR(VLOOKUP(T22,manipulation_table[#All],4,FALSE),0)</f>
        <v>0</v>
      </c>
      <c r="Y22" s="41">
        <f>IFERROR((VLOOKUP(S22,position_table[#All],4,FALSE)*F22)+(IF(S22='Action Time'!$A$3,0.36,0))+(IF(S22='Action Time'!$A$6,0.36,0))+(IF(S22='Action Time'!$A$8,'Action Time'!$D$8,0))+(IF(S22='Action Time'!$A$9,'Action Time'!$D$9,0)),0)</f>
        <v>0</v>
      </c>
      <c r="Z22" s="40">
        <f>IFERROR(VLOOKUP(E22,Connectors_Table[#All],4,FALSE)*F22,0)</f>
        <v>0</v>
      </c>
      <c r="AA22" s="41">
        <f>IFERROR(VLOOKUP(U22,removal_table[#All],4,FALSE),0)</f>
        <v>0</v>
      </c>
      <c r="AB22" s="40">
        <f t="shared" si="3"/>
        <v>0</v>
      </c>
      <c r="AC22" s="40">
        <f>IFERROR(IF(N22="No", ,VLOOKUP(R22,robot_action_table[#All],2,FALSE)),0)</f>
        <v>0</v>
      </c>
      <c r="AD22" s="40">
        <f>IF(N22="Yes",VLOOKUP("Robot traversal",robot_action_table[#All],2,FALSE),0)</f>
        <v>0</v>
      </c>
      <c r="AE22" s="40">
        <f>IFERROR(IF(N22="No",,VLOOKUP(T22,manipulation_table[#All],5,FALSE)),0)</f>
        <v>0</v>
      </c>
      <c r="AF22" s="41">
        <f>IFERROR(IF(N22="No",,(VLOOKUP(S22,position_table[#All],5,FALSE)*F22)),0)</f>
        <v>0</v>
      </c>
      <c r="AG22" s="41">
        <f>IFERROR(IF(N22="No",,VLOOKUP(E22,Connectors_Table[#All],6,FALSE)*F22),0)</f>
        <v>0</v>
      </c>
      <c r="AH22" s="41">
        <f>IF(N22="Yes",IF(U22="No removal",0,VLOOKUP("Object removal",robot_action_table[],2,FALSE)),0)</f>
        <v>0</v>
      </c>
      <c r="AI22" s="41">
        <f t="shared" si="4"/>
        <v>0</v>
      </c>
      <c r="AJ22" s="41">
        <f t="shared" si="2"/>
        <v>0</v>
      </c>
      <c r="AK22" s="42">
        <f>IF(OR(AND(AJ21=0,AJ22&lt;&gt;0),AND(AJ22=0,AJ21&lt;&gt;0)),VLOOKUP("Task Changeover time",robot_action_table[#All],2,FALSE),0)</f>
        <v>0</v>
      </c>
      <c r="AL22" s="56"/>
      <c r="AM22" s="56"/>
    </row>
    <row r="23" spans="1:39" ht="26.4" customHeight="1" x14ac:dyDescent="0.3">
      <c r="A23" s="66">
        <v>19</v>
      </c>
      <c r="B23" s="67"/>
      <c r="C23" s="66"/>
      <c r="D23" s="66"/>
      <c r="E23" s="66"/>
      <c r="F23" s="66"/>
      <c r="G23" s="68"/>
      <c r="H23" s="68"/>
      <c r="I23" s="68"/>
      <c r="J23" s="68"/>
      <c r="K23" s="68"/>
      <c r="L23" s="68"/>
      <c r="M23" s="68"/>
      <c r="N23" s="68"/>
      <c r="O23" s="66"/>
      <c r="P23" s="66"/>
      <c r="Q23" s="66"/>
      <c r="R23" s="66"/>
      <c r="S23" s="66"/>
      <c r="T23" s="66"/>
      <c r="U23" s="66"/>
      <c r="V23" s="40">
        <f>IFERROR(VLOOKUP(Q23,manual_tool_change_table[#All],4,FALSE),0)</f>
        <v>0</v>
      </c>
      <c r="W23" s="40">
        <f>IF(O23="No",F23*'Action Time'!$D$37,0)</f>
        <v>0</v>
      </c>
      <c r="X23" s="41">
        <f>IFERROR(VLOOKUP(T23,manipulation_table[#All],4,FALSE),0)</f>
        <v>0</v>
      </c>
      <c r="Y23" s="41">
        <f>IFERROR((VLOOKUP(S23,position_table[#All],4,FALSE)*F23)+(IF(S23='Action Time'!$A$3,0.36,0))+(IF(S23='Action Time'!$A$6,0.36,0))+(IF(S23='Action Time'!$A$8,'Action Time'!$D$8,0))+(IF(S23='Action Time'!$A$9,'Action Time'!$D$9,0)),0)</f>
        <v>0</v>
      </c>
      <c r="Z23" s="40">
        <f>IFERROR(VLOOKUP(E23,Connectors_Table[#All],4,FALSE)*F23,0)</f>
        <v>0</v>
      </c>
      <c r="AA23" s="41">
        <f>IFERROR(VLOOKUP(U23,removal_table[#All],4,FALSE),0)</f>
        <v>0</v>
      </c>
      <c r="AB23" s="40">
        <f t="shared" si="3"/>
        <v>0</v>
      </c>
      <c r="AC23" s="40">
        <f>IFERROR(IF(N23="No", ,VLOOKUP(R23,robot_action_table[#All],2,FALSE)),0)</f>
        <v>0</v>
      </c>
      <c r="AD23" s="40">
        <f>IF(N23="Yes",VLOOKUP("Robot traversal",robot_action_table[#All],2,FALSE),0)</f>
        <v>0</v>
      </c>
      <c r="AE23" s="40">
        <f>IFERROR(IF(N23="No",,VLOOKUP(T23,manipulation_table[#All],5,FALSE)),0)</f>
        <v>0</v>
      </c>
      <c r="AF23" s="41">
        <f>IFERROR(IF(N23="No",,(VLOOKUP(S23,position_table[#All],5,FALSE)*F23)),0)</f>
        <v>0</v>
      </c>
      <c r="AG23" s="41">
        <f>IFERROR(IF(N23="No",,VLOOKUP(E23,Connectors_Table[#All],6,FALSE)*F23),0)</f>
        <v>0</v>
      </c>
      <c r="AH23" s="41">
        <f>IF(N23="Yes",IF(U23="No removal",0,VLOOKUP("Object removal",robot_action_table[],2,FALSE)),0)</f>
        <v>0</v>
      </c>
      <c r="AI23" s="41">
        <f t="shared" si="4"/>
        <v>0</v>
      </c>
      <c r="AJ23" s="41">
        <f t="shared" si="2"/>
        <v>0</v>
      </c>
      <c r="AK23" s="42">
        <f>IF(OR(AND(AJ22=0,AJ23&lt;&gt;0),AND(AJ23=0,AJ22&lt;&gt;0)),VLOOKUP("Task Changeover time",robot_action_table[#All],2,FALSE),0)</f>
        <v>0</v>
      </c>
      <c r="AL23" s="56"/>
      <c r="AM23" s="56"/>
    </row>
    <row r="24" spans="1:39" ht="26.4" customHeight="1" x14ac:dyDescent="0.3">
      <c r="A24" s="66">
        <v>20</v>
      </c>
      <c r="B24" s="67"/>
      <c r="C24" s="66"/>
      <c r="D24" s="66"/>
      <c r="E24" s="66"/>
      <c r="F24" s="66"/>
      <c r="G24" s="68"/>
      <c r="H24" s="68"/>
      <c r="I24" s="68"/>
      <c r="J24" s="68"/>
      <c r="K24" s="68"/>
      <c r="L24" s="68"/>
      <c r="M24" s="68"/>
      <c r="N24" s="68"/>
      <c r="O24" s="66"/>
      <c r="P24" s="66"/>
      <c r="Q24" s="66"/>
      <c r="R24" s="66"/>
      <c r="S24" s="66"/>
      <c r="T24" s="66"/>
      <c r="U24" s="66"/>
      <c r="V24" s="40">
        <f>IFERROR(VLOOKUP(Q24,manual_tool_change_table[#All],4,FALSE),0)</f>
        <v>0</v>
      </c>
      <c r="W24" s="40">
        <f>IF(O24="No",F24*'Action Time'!$D$37,0)</f>
        <v>0</v>
      </c>
      <c r="X24" s="41">
        <f>IFERROR(VLOOKUP(T24,manipulation_table[#All],4,FALSE),0)</f>
        <v>0</v>
      </c>
      <c r="Y24" s="41">
        <f>IFERROR((VLOOKUP(S24,position_table[#All],4,FALSE)*F24)+(IF(S24='Action Time'!$A$3,0.36,0))+(IF(S24='Action Time'!$A$6,0.36,0))+(IF(S24='Action Time'!$A$8,'Action Time'!$D$8,0))+(IF(S24='Action Time'!$A$9,'Action Time'!$D$9,0)),0)</f>
        <v>0</v>
      </c>
      <c r="Z24" s="40">
        <f>IFERROR(VLOOKUP(E24,Connectors_Table[#All],4,FALSE)*F24,0)</f>
        <v>0</v>
      </c>
      <c r="AA24" s="41">
        <f>IFERROR(VLOOKUP(U24,removal_table[#All],4,FALSE),0)</f>
        <v>0</v>
      </c>
      <c r="AB24" s="40">
        <f t="shared" si="3"/>
        <v>0</v>
      </c>
      <c r="AC24" s="40">
        <f>IFERROR(IF(N24="No", ,VLOOKUP(R24,robot_action_table[#All],2,FALSE)),0)</f>
        <v>0</v>
      </c>
      <c r="AD24" s="40">
        <f>IF(N24="Yes",VLOOKUP("Robot traversal",robot_action_table[#All],2,FALSE),0)</f>
        <v>0</v>
      </c>
      <c r="AE24" s="40">
        <f>IFERROR(IF(N24="No",,VLOOKUP(T24,manipulation_table[#All],5,FALSE)),0)</f>
        <v>0</v>
      </c>
      <c r="AF24" s="41">
        <f>IFERROR(IF(N24="No",,(VLOOKUP(S24,position_table[#All],5,FALSE)*F24)),0)</f>
        <v>0</v>
      </c>
      <c r="AG24" s="41">
        <f>IFERROR(IF(N24="No",,VLOOKUP(E24,Connectors_Table[#All],6,FALSE)*F24),0)</f>
        <v>0</v>
      </c>
      <c r="AH24" s="41">
        <f>IF(N24="Yes",IF(U24="No removal",0,VLOOKUP("Object removal",robot_action_table[],2,FALSE)),0)</f>
        <v>0</v>
      </c>
      <c r="AI24" s="41">
        <f t="shared" si="4"/>
        <v>0</v>
      </c>
      <c r="AJ24" s="41">
        <f t="shared" si="2"/>
        <v>0</v>
      </c>
      <c r="AK24" s="42">
        <f>IF(OR(AND(AJ23=0,AJ24&lt;&gt;0),AND(AJ24=0,AJ23&lt;&gt;0)),VLOOKUP("Task Changeover time",robot_action_table[#All],2,FALSE),0)</f>
        <v>0</v>
      </c>
      <c r="AL24" s="56"/>
      <c r="AM24" s="56"/>
    </row>
    <row r="25" spans="1:39" ht="26.4" customHeight="1" x14ac:dyDescent="0.3">
      <c r="A25" s="66">
        <v>21</v>
      </c>
      <c r="B25" s="67"/>
      <c r="C25" s="66"/>
      <c r="D25" s="66"/>
      <c r="E25" s="66"/>
      <c r="F25" s="66"/>
      <c r="G25" s="68"/>
      <c r="H25" s="68"/>
      <c r="I25" s="68"/>
      <c r="J25" s="68"/>
      <c r="K25" s="68"/>
      <c r="L25" s="68"/>
      <c r="M25" s="68"/>
      <c r="N25" s="68"/>
      <c r="O25" s="66"/>
      <c r="P25" s="66"/>
      <c r="Q25" s="66"/>
      <c r="R25" s="66"/>
      <c r="S25" s="66"/>
      <c r="T25" s="66"/>
      <c r="U25" s="66"/>
      <c r="V25" s="40">
        <f>IFERROR(VLOOKUP(Q25,manual_tool_change_table[#All],4,FALSE),0)</f>
        <v>0</v>
      </c>
      <c r="W25" s="40">
        <f>IF(O25="No",F25*'Action Time'!$D$37,0)</f>
        <v>0</v>
      </c>
      <c r="X25" s="41">
        <f>IFERROR(VLOOKUP(T25,manipulation_table[#All],4,FALSE),0)</f>
        <v>0</v>
      </c>
      <c r="Y25" s="41">
        <f>IFERROR((VLOOKUP(S25,position_table[#All],4,FALSE)*F25)+(IF(S25='Action Time'!$A$3,0.36,0))+(IF(S25='Action Time'!$A$6,0.36,0))+(IF(S25='Action Time'!$A$8,'Action Time'!$D$8,0))+(IF(S25='Action Time'!$A$9,'Action Time'!$D$9,0)),0)</f>
        <v>0</v>
      </c>
      <c r="Z25" s="40">
        <f>IFERROR(VLOOKUP(E25,Connectors_Table[#All],4,FALSE)*F25,0)</f>
        <v>0</v>
      </c>
      <c r="AA25" s="41">
        <f>IFERROR(VLOOKUP(U25,removal_table[#All],4,FALSE),0)</f>
        <v>0</v>
      </c>
      <c r="AB25" s="40">
        <f t="shared" si="3"/>
        <v>0</v>
      </c>
      <c r="AC25" s="40">
        <f>IFERROR(IF(N25="No", ,VLOOKUP(R25,robot_action_table[#All],2,FALSE)),0)</f>
        <v>0</v>
      </c>
      <c r="AD25" s="40">
        <f>IF(N25="Yes",VLOOKUP("Robot traversal",robot_action_table[#All],2,FALSE),0)</f>
        <v>0</v>
      </c>
      <c r="AE25" s="40">
        <f>IFERROR(IF(N25="No",,VLOOKUP(T25,manipulation_table[#All],5,FALSE)),0)</f>
        <v>0</v>
      </c>
      <c r="AF25" s="41">
        <f>IFERROR(IF(N25="No",,(VLOOKUP(S25,position_table[#All],5,FALSE)*F25)),0)</f>
        <v>0</v>
      </c>
      <c r="AG25" s="41">
        <f>IFERROR(IF(N25="No",,VLOOKUP(E25,Connectors_Table[#All],6,FALSE)*F25),0)</f>
        <v>0</v>
      </c>
      <c r="AH25" s="41">
        <f>IF(N25="Yes",IF(U25="No removal",0,VLOOKUP("Object removal",robot_action_table[],2,FALSE)),0)</f>
        <v>0</v>
      </c>
      <c r="AI25" s="41">
        <f t="shared" si="4"/>
        <v>0</v>
      </c>
      <c r="AJ25" s="41">
        <f t="shared" si="2"/>
        <v>0</v>
      </c>
      <c r="AK25" s="42">
        <f>IF(OR(AND(AJ24=0,AJ25&lt;&gt;0),AND(AJ25=0,AJ24&lt;&gt;0)),VLOOKUP("Task Changeover time",robot_action_table[#All],2,FALSE),0)</f>
        <v>0</v>
      </c>
      <c r="AL25" s="56"/>
      <c r="AM25" s="56"/>
    </row>
    <row r="26" spans="1:39" ht="26.4" customHeight="1" x14ac:dyDescent="0.3">
      <c r="A26" s="66">
        <v>22</v>
      </c>
      <c r="B26" s="67"/>
      <c r="C26" s="66"/>
      <c r="D26" s="66"/>
      <c r="E26" s="66"/>
      <c r="F26" s="66"/>
      <c r="G26" s="68"/>
      <c r="H26" s="68"/>
      <c r="I26" s="68"/>
      <c r="J26" s="68"/>
      <c r="K26" s="68"/>
      <c r="L26" s="68"/>
      <c r="M26" s="68"/>
      <c r="N26" s="68"/>
      <c r="O26" s="66"/>
      <c r="P26" s="66"/>
      <c r="Q26" s="66"/>
      <c r="R26" s="66"/>
      <c r="S26" s="66"/>
      <c r="T26" s="66"/>
      <c r="U26" s="66"/>
      <c r="V26" s="40">
        <f>IFERROR(VLOOKUP(Q26,manual_tool_change_table[#All],4,FALSE),0)</f>
        <v>0</v>
      </c>
      <c r="W26" s="40">
        <f>IF(O26="No",F26*'Action Time'!$D$37,0)</f>
        <v>0</v>
      </c>
      <c r="X26" s="41">
        <f>IFERROR(VLOOKUP(T26,manipulation_table[#All],4,FALSE),0)</f>
        <v>0</v>
      </c>
      <c r="Y26" s="41">
        <f>IFERROR((VLOOKUP(S26,position_table[#All],4,FALSE)*F26)+(IF(S26='Action Time'!$A$3,0.36,0))+(IF(S26='Action Time'!$A$6,0.36,0))+(IF(S26='Action Time'!$A$8,'Action Time'!$D$8,0))+(IF(S26='Action Time'!$A$9,'Action Time'!$D$9,0)),0)</f>
        <v>0</v>
      </c>
      <c r="Z26" s="40">
        <f>IFERROR(VLOOKUP(E26,Connectors_Table[#All],4,FALSE)*F26,0)</f>
        <v>0</v>
      </c>
      <c r="AA26" s="41">
        <f>IFERROR(VLOOKUP(U26,removal_table[#All],4,FALSE),0)</f>
        <v>0</v>
      </c>
      <c r="AB26" s="40">
        <f t="shared" si="3"/>
        <v>0</v>
      </c>
      <c r="AC26" s="40">
        <f>IFERROR(IF(N26="No", ,VLOOKUP(R26,robot_action_table[#All],2,FALSE)),0)</f>
        <v>0</v>
      </c>
      <c r="AD26" s="40">
        <f>IF(N26="Yes",VLOOKUP("Robot traversal",robot_action_table[#All],2,FALSE),0)</f>
        <v>0</v>
      </c>
      <c r="AE26" s="40">
        <f>IFERROR(IF(N26="No",,VLOOKUP(T26,manipulation_table[#All],5,FALSE)),0)</f>
        <v>0</v>
      </c>
      <c r="AF26" s="41">
        <f>IFERROR(IF(N26="No",,(VLOOKUP(S26,position_table[#All],5,FALSE)*F26)),0)</f>
        <v>0</v>
      </c>
      <c r="AG26" s="41">
        <f>IFERROR(IF(N26="No",,VLOOKUP(E26,Connectors_Table[#All],6,FALSE)*F26),0)</f>
        <v>0</v>
      </c>
      <c r="AH26" s="41">
        <f>IF(N26="Yes",IF(U26="No removal",0,VLOOKUP("Object removal",robot_action_table[],2,FALSE)),0)</f>
        <v>0</v>
      </c>
      <c r="AI26" s="41">
        <f t="shared" si="4"/>
        <v>0</v>
      </c>
      <c r="AJ26" s="41">
        <f t="shared" si="2"/>
        <v>0</v>
      </c>
      <c r="AK26" s="42">
        <f>IF(OR(AND(AJ25=0,AJ26&lt;&gt;0),AND(AJ26=0,AJ25&lt;&gt;0)),VLOOKUP("Task Changeover time",robot_action_table[#All],2,FALSE),0)</f>
        <v>0</v>
      </c>
      <c r="AL26" s="56"/>
      <c r="AM26" s="56"/>
    </row>
    <row r="27" spans="1:39" ht="26.4" customHeight="1" x14ac:dyDescent="0.3">
      <c r="A27" s="66">
        <v>23</v>
      </c>
      <c r="B27" s="67"/>
      <c r="C27" s="66"/>
      <c r="D27" s="66"/>
      <c r="E27" s="66"/>
      <c r="F27" s="66"/>
      <c r="G27" s="68"/>
      <c r="H27" s="68"/>
      <c r="I27" s="68"/>
      <c r="J27" s="68"/>
      <c r="K27" s="68"/>
      <c r="L27" s="68"/>
      <c r="M27" s="68"/>
      <c r="N27" s="68"/>
      <c r="O27" s="66"/>
      <c r="P27" s="66"/>
      <c r="Q27" s="66"/>
      <c r="R27" s="66"/>
      <c r="S27" s="66"/>
      <c r="T27" s="66"/>
      <c r="U27" s="66"/>
      <c r="V27" s="40">
        <f>IFERROR(VLOOKUP(Q27,manual_tool_change_table[#All],4,FALSE),0)</f>
        <v>0</v>
      </c>
      <c r="W27" s="40">
        <f>IF(O27="No",F27*'Action Time'!$D$37,0)</f>
        <v>0</v>
      </c>
      <c r="X27" s="41">
        <f>IFERROR(VLOOKUP(T27,manipulation_table[#All],4,FALSE),0)</f>
        <v>0</v>
      </c>
      <c r="Y27" s="41">
        <f>IFERROR((VLOOKUP(S27,position_table[#All],4,FALSE)*F27)+(IF(S27='Action Time'!$A$3,0.36,0))+(IF(S27='Action Time'!$A$6,0.36,0))+(IF(S27='Action Time'!$A$8,'Action Time'!$D$8,0))+(IF(S27='Action Time'!$A$9,'Action Time'!$D$9,0)),0)</f>
        <v>0</v>
      </c>
      <c r="Z27" s="40">
        <f>IFERROR(VLOOKUP(E27,Connectors_Table[#All],4,FALSE)*F27,0)</f>
        <v>0</v>
      </c>
      <c r="AA27" s="41">
        <f>IFERROR(VLOOKUP(U27,removal_table[#All],4,FALSE),0)</f>
        <v>0</v>
      </c>
      <c r="AB27" s="40">
        <f t="shared" si="3"/>
        <v>0</v>
      </c>
      <c r="AC27" s="40">
        <f>IFERROR(IF(N27="No", ,VLOOKUP(R27,robot_action_table[#All],2,FALSE)),0)</f>
        <v>0</v>
      </c>
      <c r="AD27" s="40">
        <f>IF(N27="Yes",VLOOKUP("Robot traversal",robot_action_table[#All],2,FALSE),0)</f>
        <v>0</v>
      </c>
      <c r="AE27" s="40">
        <f>IFERROR(IF(N27="No",,VLOOKUP(T27,manipulation_table[#All],5,FALSE)),0)</f>
        <v>0</v>
      </c>
      <c r="AF27" s="41">
        <f>IFERROR(IF(N27="No",,(VLOOKUP(S27,position_table[#All],5,FALSE)*F27)),0)</f>
        <v>0</v>
      </c>
      <c r="AG27" s="41">
        <f>IFERROR(IF(N27="No",,VLOOKUP(E27,Connectors_Table[#All],6,FALSE)*F27),0)</f>
        <v>0</v>
      </c>
      <c r="AH27" s="41">
        <f>IF(N27="Yes",IF(U27="No removal",0,VLOOKUP("Object removal",robot_action_table[],2,FALSE)),0)</f>
        <v>0</v>
      </c>
      <c r="AI27" s="41">
        <f t="shared" si="4"/>
        <v>0</v>
      </c>
      <c r="AJ27" s="41">
        <f t="shared" si="2"/>
        <v>0</v>
      </c>
      <c r="AK27" s="42">
        <f>IF(OR(AND(AJ26=0,AJ27&lt;&gt;0),AND(AJ27=0,AJ26&lt;&gt;0)),VLOOKUP("Task Changeover time",robot_action_table[#All],2,FALSE),0)</f>
        <v>0</v>
      </c>
      <c r="AL27" s="56"/>
      <c r="AM27" s="56"/>
    </row>
    <row r="28" spans="1:39" ht="26.4" customHeight="1" x14ac:dyDescent="0.3">
      <c r="A28" s="66">
        <v>24</v>
      </c>
      <c r="B28" s="67"/>
      <c r="C28" s="66"/>
      <c r="D28" s="66"/>
      <c r="E28" s="66"/>
      <c r="F28" s="66"/>
      <c r="G28" s="68"/>
      <c r="H28" s="68"/>
      <c r="I28" s="68"/>
      <c r="J28" s="68"/>
      <c r="K28" s="68"/>
      <c r="L28" s="68"/>
      <c r="M28" s="68"/>
      <c r="N28" s="68"/>
      <c r="O28" s="66"/>
      <c r="P28" s="66"/>
      <c r="Q28" s="66"/>
      <c r="R28" s="66"/>
      <c r="S28" s="66"/>
      <c r="T28" s="66"/>
      <c r="U28" s="66"/>
      <c r="V28" s="40">
        <f>IFERROR(VLOOKUP(Q28,manual_tool_change_table[#All],4,FALSE),0)</f>
        <v>0</v>
      </c>
      <c r="W28" s="40">
        <f>IF(O28="No",F28*'Action Time'!$D$37,0)</f>
        <v>0</v>
      </c>
      <c r="X28" s="41">
        <f>IFERROR(VLOOKUP(T28,manipulation_table[#All],4,FALSE),0)</f>
        <v>0</v>
      </c>
      <c r="Y28" s="41">
        <f>IFERROR((VLOOKUP(S28,position_table[#All],4,FALSE)*F28)+(IF(S28='Action Time'!$A$3,0.36,0))+(IF(S28='Action Time'!$A$6,0.36,0))+(IF(S28='Action Time'!$A$8,'Action Time'!$D$8,0))+(IF(S28='Action Time'!$A$9,'Action Time'!$D$9,0)),0)</f>
        <v>0</v>
      </c>
      <c r="Z28" s="40">
        <f>IFERROR(VLOOKUP(E28,Connectors_Table[#All],4,FALSE)*F28,0)</f>
        <v>0</v>
      </c>
      <c r="AA28" s="41">
        <f>IFERROR(VLOOKUP(U28,removal_table[#All],4,FALSE),0)</f>
        <v>0</v>
      </c>
      <c r="AB28" s="40">
        <f t="shared" si="3"/>
        <v>0</v>
      </c>
      <c r="AC28" s="40">
        <f>IFERROR(IF(N28="No", ,VLOOKUP(R28,robot_action_table[#All],2,FALSE)),0)</f>
        <v>0</v>
      </c>
      <c r="AD28" s="40">
        <f>IF(N28="Yes",VLOOKUP("Robot traversal",robot_action_table[#All],2,FALSE),0)</f>
        <v>0</v>
      </c>
      <c r="AE28" s="40">
        <f>IFERROR(IF(N28="No",,VLOOKUP(T28,manipulation_table[#All],5,FALSE)),0)</f>
        <v>0</v>
      </c>
      <c r="AF28" s="41">
        <f>IFERROR(IF(N28="No",,(VLOOKUP(S28,position_table[#All],5,FALSE)*F28)),0)</f>
        <v>0</v>
      </c>
      <c r="AG28" s="41">
        <f>IFERROR(IF(N28="No",,VLOOKUP(E28,Connectors_Table[#All],6,FALSE)*F28),0)</f>
        <v>0</v>
      </c>
      <c r="AH28" s="41">
        <f>IF(N28="Yes",IF(U28="No removal",0,VLOOKUP("Object removal",robot_action_table[],2,FALSE)),0)</f>
        <v>0</v>
      </c>
      <c r="AI28" s="41">
        <f t="shared" si="4"/>
        <v>0</v>
      </c>
      <c r="AJ28" s="41">
        <f t="shared" si="2"/>
        <v>0</v>
      </c>
      <c r="AK28" s="42">
        <f>IF(OR(AND(AJ27=0,AJ28&lt;&gt;0),AND(AJ28=0,AJ27&lt;&gt;0)),VLOOKUP("Task Changeover time",robot_action_table[#All],2,FALSE),0)</f>
        <v>0</v>
      </c>
      <c r="AL28" s="56"/>
      <c r="AM28" s="56"/>
    </row>
    <row r="29" spans="1:39" ht="33.65" customHeight="1" x14ac:dyDescent="0.3">
      <c r="A29" s="102" t="s">
        <v>47</v>
      </c>
      <c r="B29" s="102"/>
      <c r="C29" s="102"/>
      <c r="D29" s="102"/>
      <c r="E29" s="102"/>
      <c r="F29" s="102"/>
      <c r="G29" s="102"/>
      <c r="H29" s="102"/>
      <c r="I29" s="102"/>
      <c r="J29" s="102"/>
      <c r="K29" s="102"/>
      <c r="L29" s="102"/>
      <c r="M29" s="102"/>
      <c r="N29" s="102"/>
      <c r="O29" s="102"/>
      <c r="P29" s="102"/>
      <c r="Q29" s="102"/>
      <c r="R29" s="102"/>
      <c r="S29" s="102"/>
      <c r="T29" s="102"/>
      <c r="U29" s="102"/>
      <c r="V29" s="43">
        <f t="shared" ref="V29:AD29" si="5">SUM(V5:V28)</f>
        <v>0</v>
      </c>
      <c r="W29" s="43">
        <f t="shared" si="5"/>
        <v>0</v>
      </c>
      <c r="X29" s="43">
        <f t="shared" si="5"/>
        <v>0</v>
      </c>
      <c r="Y29" s="43">
        <f t="shared" si="5"/>
        <v>0</v>
      </c>
      <c r="Z29" s="43">
        <f t="shared" si="5"/>
        <v>0</v>
      </c>
      <c r="AA29" s="43">
        <f t="shared" si="5"/>
        <v>0</v>
      </c>
      <c r="AB29" s="44">
        <f t="shared" si="5"/>
        <v>0</v>
      </c>
      <c r="AC29" s="43">
        <f t="shared" si="5"/>
        <v>0</v>
      </c>
      <c r="AD29" s="43">
        <f t="shared" si="5"/>
        <v>0</v>
      </c>
      <c r="AE29" s="43">
        <f t="shared" ref="AE29:AK29" si="6">SUM(AE5:AE28)</f>
        <v>0</v>
      </c>
      <c r="AF29" s="43">
        <f t="shared" si="6"/>
        <v>0</v>
      </c>
      <c r="AG29" s="43">
        <f t="shared" si="6"/>
        <v>0</v>
      </c>
      <c r="AH29" s="43">
        <f t="shared" si="6"/>
        <v>0</v>
      </c>
      <c r="AI29" s="44">
        <f t="shared" si="6"/>
        <v>0</v>
      </c>
      <c r="AJ29" s="44">
        <f t="shared" si="6"/>
        <v>0</v>
      </c>
      <c r="AK29" s="44">
        <f t="shared" si="6"/>
        <v>0</v>
      </c>
      <c r="AL29" s="56"/>
      <c r="AM29" s="56"/>
    </row>
    <row r="30" spans="1:39" ht="13.75" customHeight="1" x14ac:dyDescent="0.3">
      <c r="A30" s="45"/>
      <c r="B30" s="46"/>
      <c r="C30" s="47"/>
      <c r="D30" s="47"/>
      <c r="E30" s="48"/>
      <c r="F30" s="48"/>
      <c r="G30" s="48"/>
      <c r="H30" s="48"/>
      <c r="I30" s="48"/>
      <c r="J30" s="48"/>
      <c r="K30" s="48"/>
      <c r="L30" s="48"/>
      <c r="M30" s="48"/>
      <c r="N30" s="48"/>
      <c r="O30" s="48"/>
      <c r="P30" s="48"/>
      <c r="Q30" s="48"/>
      <c r="R30" s="48"/>
      <c r="S30" s="48"/>
      <c r="T30" s="48"/>
      <c r="U30" s="48"/>
      <c r="V30" s="48"/>
      <c r="W30" s="48"/>
      <c r="X30" s="48"/>
      <c r="Y30" s="49"/>
      <c r="Z30" s="48"/>
      <c r="AA30" s="48"/>
      <c r="AB30" s="48"/>
      <c r="AC30" s="103" t="s">
        <v>48</v>
      </c>
      <c r="AD30" s="103"/>
      <c r="AE30" s="103"/>
      <c r="AF30" s="103"/>
      <c r="AG30" s="103"/>
      <c r="AH30" s="103"/>
      <c r="AI30" s="104">
        <f>((AI29+AK29)/(VLOOKUP("Cost factor - n (#)",robot_parameter_table[#All],2,FALSE)))+AJ29</f>
        <v>0</v>
      </c>
      <c r="AJ30" s="104"/>
      <c r="AK30" s="104"/>
      <c r="AL30" s="118"/>
      <c r="AM30" s="118"/>
    </row>
    <row r="31" spans="1:39" x14ac:dyDescent="0.3">
      <c r="A31" s="45"/>
      <c r="B31" s="46"/>
      <c r="C31" s="47"/>
      <c r="D31" s="47"/>
      <c r="E31" s="48"/>
      <c r="F31" s="48"/>
      <c r="G31" s="48"/>
      <c r="H31" s="48"/>
      <c r="I31" s="48"/>
      <c r="J31" s="48"/>
      <c r="K31" s="48"/>
      <c r="L31" s="48"/>
      <c r="M31" s="48"/>
      <c r="N31" s="48"/>
      <c r="O31" s="48"/>
      <c r="P31" s="48"/>
      <c r="Q31" s="48"/>
      <c r="R31" s="48"/>
      <c r="S31" s="48"/>
      <c r="T31" s="48"/>
      <c r="U31" s="48"/>
      <c r="V31" s="48"/>
      <c r="W31" s="48"/>
      <c r="X31" s="48"/>
      <c r="Y31" s="48"/>
      <c r="Z31" s="48"/>
      <c r="AA31" s="48"/>
      <c r="AB31" s="48"/>
      <c r="AC31" s="103"/>
      <c r="AD31" s="103"/>
      <c r="AE31" s="103"/>
      <c r="AF31" s="103"/>
      <c r="AG31" s="103"/>
      <c r="AH31" s="103"/>
      <c r="AI31" s="104"/>
      <c r="AJ31" s="104"/>
      <c r="AK31" s="104"/>
      <c r="AL31" s="118"/>
      <c r="AM31" s="118"/>
    </row>
    <row r="32" spans="1:39" x14ac:dyDescent="0.3">
      <c r="A32" s="45"/>
      <c r="B32" s="46"/>
      <c r="C32" s="47"/>
      <c r="D32" s="47"/>
      <c r="E32" s="48"/>
      <c r="F32" s="48"/>
      <c r="G32" s="48"/>
      <c r="H32" s="48"/>
      <c r="I32" s="48"/>
      <c r="J32" s="48"/>
      <c r="K32" s="48"/>
      <c r="L32" s="48"/>
      <c r="M32" s="48"/>
      <c r="N32" s="48"/>
      <c r="O32" s="48"/>
      <c r="P32" s="48"/>
      <c r="Q32" s="48"/>
      <c r="R32" s="48"/>
      <c r="S32" s="48"/>
      <c r="T32" s="48"/>
      <c r="U32" s="48"/>
      <c r="V32" s="48"/>
      <c r="W32" s="48"/>
      <c r="X32" s="48"/>
      <c r="Y32" s="49"/>
      <c r="Z32" s="48"/>
      <c r="AA32" s="48"/>
      <c r="AB32" s="48"/>
      <c r="AC32" s="103" t="s">
        <v>253</v>
      </c>
      <c r="AD32" s="103"/>
      <c r="AE32" s="103"/>
      <c r="AF32" s="103"/>
      <c r="AG32" s="103"/>
      <c r="AH32" s="103"/>
      <c r="AI32" s="104">
        <f>MIN(AB29,AI30)</f>
        <v>0</v>
      </c>
      <c r="AJ32" s="104"/>
      <c r="AK32" s="104"/>
      <c r="AL32" s="118"/>
      <c r="AM32" s="118"/>
    </row>
    <row r="33" spans="1:39" x14ac:dyDescent="0.3">
      <c r="A33" s="45"/>
      <c r="B33" s="46"/>
      <c r="C33" s="47"/>
      <c r="D33" s="47"/>
      <c r="E33" s="48"/>
      <c r="F33" s="48"/>
      <c r="G33" s="48"/>
      <c r="H33" s="48"/>
      <c r="I33" s="48"/>
      <c r="J33" s="48"/>
      <c r="K33" s="48"/>
      <c r="L33" s="48"/>
      <c r="M33" s="48"/>
      <c r="N33" s="48"/>
      <c r="O33" s="48"/>
      <c r="P33" s="48"/>
      <c r="Q33" s="48"/>
      <c r="R33" s="48"/>
      <c r="S33" s="48"/>
      <c r="T33" s="48"/>
      <c r="U33" s="48"/>
      <c r="V33" s="48"/>
      <c r="W33" s="48"/>
      <c r="X33" s="48"/>
      <c r="Y33" s="49"/>
      <c r="Z33" s="48"/>
      <c r="AA33" s="48"/>
      <c r="AB33" s="48"/>
      <c r="AC33" s="103"/>
      <c r="AD33" s="103"/>
      <c r="AE33" s="103"/>
      <c r="AF33" s="103"/>
      <c r="AG33" s="103"/>
      <c r="AH33" s="103"/>
      <c r="AI33" s="104"/>
      <c r="AJ33" s="104"/>
      <c r="AK33" s="104"/>
      <c r="AL33" s="118"/>
      <c r="AM33" s="118"/>
    </row>
    <row r="37" spans="1:39" x14ac:dyDescent="0.3">
      <c r="AD37" s="10"/>
    </row>
  </sheetData>
  <dataConsolidate/>
  <mergeCells count="51">
    <mergeCell ref="W3:W4"/>
    <mergeCell ref="X3:X4"/>
    <mergeCell ref="AL30:AM31"/>
    <mergeCell ref="AL2:AM4"/>
    <mergeCell ref="AK3:AK4"/>
    <mergeCell ref="V2:AB2"/>
    <mergeCell ref="V3:V4"/>
    <mergeCell ref="AJ3:AJ4"/>
    <mergeCell ref="AJ2:AK2"/>
    <mergeCell ref="AL32:AM33"/>
    <mergeCell ref="AC3:AC4"/>
    <mergeCell ref="AD3:AD4"/>
    <mergeCell ref="AE3:AE4"/>
    <mergeCell ref="AF3:AF4"/>
    <mergeCell ref="AG3:AG4"/>
    <mergeCell ref="A1:D1"/>
    <mergeCell ref="E3:E4"/>
    <mergeCell ref="F3:F4"/>
    <mergeCell ref="G3:G4"/>
    <mergeCell ref="H3:H4"/>
    <mergeCell ref="E1:G1"/>
    <mergeCell ref="H1:AK1"/>
    <mergeCell ref="Z3:Z4"/>
    <mergeCell ref="AA3:AA4"/>
    <mergeCell ref="AB3:AB4"/>
    <mergeCell ref="AC2:AI2"/>
    <mergeCell ref="O2:U2"/>
    <mergeCell ref="O3:O4"/>
    <mergeCell ref="Y3:Y4"/>
    <mergeCell ref="AH3:AH4"/>
    <mergeCell ref="AI3:AI4"/>
    <mergeCell ref="A29:U29"/>
    <mergeCell ref="AC30:AH31"/>
    <mergeCell ref="AI30:AK31"/>
    <mergeCell ref="AC32:AH33"/>
    <mergeCell ref="AI32:AK33"/>
    <mergeCell ref="M3:M4"/>
    <mergeCell ref="T3:T4"/>
    <mergeCell ref="U3:U4"/>
    <mergeCell ref="J3:L3"/>
    <mergeCell ref="A2:F2"/>
    <mergeCell ref="A3:A4"/>
    <mergeCell ref="B3:B4"/>
    <mergeCell ref="C3:C4"/>
    <mergeCell ref="D3:D4"/>
    <mergeCell ref="I3:I4"/>
    <mergeCell ref="P3:P4"/>
    <mergeCell ref="Q3:R3"/>
    <mergeCell ref="S3:S4"/>
    <mergeCell ref="N3:N4"/>
    <mergeCell ref="G2:N2"/>
  </mergeCells>
  <phoneticPr fontId="2" type="noConversion"/>
  <conditionalFormatting sqref="G5:G28">
    <cfRule type="containsText" dxfId="20" priority="8" operator="containsText" text="No">
      <formula>NOT(ISERROR(SEARCH("No",G5)))</formula>
    </cfRule>
  </conditionalFormatting>
  <conditionalFormatting sqref="J5:L28">
    <cfRule type="cellIs" dxfId="17" priority="7" operator="equal">
      <formula>0</formula>
    </cfRule>
  </conditionalFormatting>
  <conditionalFormatting sqref="M5:N28">
    <cfRule type="containsText" dxfId="16" priority="3" operator="containsText" text="No">
      <formula>NOT(ISERROR(SEARCH("No",M5)))</formula>
    </cfRule>
  </conditionalFormatting>
  <conditionalFormatting sqref="AB5:AB28">
    <cfRule type="top10" dxfId="15" priority="2" rank="3"/>
  </conditionalFormatting>
  <conditionalFormatting sqref="AI5:AI28">
    <cfRule type="top10" dxfId="14" priority="1" rank="3"/>
  </conditionalFormatting>
  <dataValidations count="10">
    <dataValidation type="list" allowBlank="1" showInputMessage="1" showErrorMessage="1" sqref="U5:U28" xr:uid="{EBE29E7C-58F6-4FDD-9A13-87699BB43BA9}">
      <formula1>removal_type</formula1>
    </dataValidation>
    <dataValidation type="list" allowBlank="1" showInputMessage="1" showErrorMessage="1" sqref="M17:M28 G5:G28 N5:P28 M15 M8" xr:uid="{D5F55B8A-FB42-42C0-9978-702E281E0CA2}">
      <formula1>"Yes,No"</formula1>
    </dataValidation>
    <dataValidation type="list" allowBlank="1" showInputMessage="1" showErrorMessage="1" sqref="M14" xr:uid="{36119695-65B6-4F7E-8E6A-8E0941469E97}">
      <formula1>"Yes,No,NA"</formula1>
    </dataValidation>
    <dataValidation type="list" allowBlank="1" showInputMessage="1" showErrorMessage="1" sqref="R5:R6" xr:uid="{5EB883B3-45CA-489C-B5B5-9A7268A0BA93}">
      <formula1>"No Tool Change,Tool Change,Two Tool Changes"</formula1>
    </dataValidation>
    <dataValidation type="list" allowBlank="1" showInputMessage="1" showErrorMessage="1" sqref="M9:M13 M16 M5:M7" xr:uid="{37A01940-A57C-431F-8D0F-D99551F0E8B8}">
      <formula1>"Yes,No,N/A"</formula1>
    </dataValidation>
    <dataValidation type="list" allowBlank="1" showInputMessage="1" showErrorMessage="1" sqref="T5:T28" xr:uid="{072C6A80-69F7-4AF3-94A2-0A630E7D4876}">
      <formula1>manipulation_type</formula1>
    </dataValidation>
    <dataValidation type="list" allowBlank="1" showInputMessage="1" showErrorMessage="1" sqref="E5:E28" xr:uid="{9BC23A59-4BC3-4DDE-B756-164A3C999B55}">
      <formula1>Connector_list</formula1>
    </dataValidation>
    <dataValidation type="list" allowBlank="1" showInputMessage="1" showErrorMessage="1" sqref="Q5:Q28" xr:uid="{443A8142-01F1-4D6E-9122-4660185EDAD9}">
      <formula1>manual_tool_change</formula1>
    </dataValidation>
    <dataValidation type="list" allowBlank="1" showInputMessage="1" showErrorMessage="1" sqref="R7:R28" xr:uid="{39BB3441-2DDF-4096-A740-D59DBAED721E}">
      <formula1>"No Tool Change, Tool Change, Two Tool Changes"</formula1>
    </dataValidation>
    <dataValidation type="list" allowBlank="1" showInputMessage="1" showErrorMessage="1" sqref="S10:S28 S5:S8" xr:uid="{A66984B3-BF33-4D10-AFC8-ACAFF9DFB33C}">
      <formula1>positioning_type</formula1>
    </dataValidation>
  </dataValidations>
  <pageMargins left="0.25" right="0.25" top="0.75" bottom="0.75" header="0.3" footer="0.3"/>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5" id="{D8F28345-4DF7-443A-919F-D249E0B67C53}">
            <xm:f>AND(ISNUMBER(H5),H5&gt;'Action Time'!$B$67)</xm:f>
            <x14:dxf>
              <font>
                <color rgb="FFFF0000"/>
              </font>
            </x14:dxf>
          </x14:cfRule>
          <xm:sqref>H5:H28</xm:sqref>
        </x14:conditionalFormatting>
        <x14:conditionalFormatting xmlns:xm="http://schemas.microsoft.com/office/excel/2006/main">
          <x14:cfRule type="expression" priority="4" id="{84F04A6D-FCB6-4CE7-9046-7C12026B6F5F}">
            <xm:f>AND(ISNUMBER(I5),I5&gt;'Action Time'!$B$68)</xm:f>
            <x14:dxf>
              <font>
                <color rgb="FFFF0000"/>
              </font>
            </x14:dxf>
          </x14:cfRule>
          <xm:sqref>I5:I28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186E2-C86C-4F7B-B5CF-08B78B53179D}">
  <sheetPr>
    <tabColor rgb="FF2A4942"/>
    <pageSetUpPr fitToPage="1"/>
  </sheetPr>
  <dimension ref="A1:AN37"/>
  <sheetViews>
    <sheetView tabSelected="1" topLeftCell="U1" zoomScale="85" zoomScaleNormal="85" workbookViewId="0">
      <pane ySplit="4" topLeftCell="A6" activePane="bottomLeft" state="frozen"/>
      <selection pane="bottomLeft" activeCell="E9" sqref="E9"/>
    </sheetView>
  </sheetViews>
  <sheetFormatPr defaultColWidth="7.453125" defaultRowHeight="13" x14ac:dyDescent="0.3"/>
  <cols>
    <col min="1" max="1" width="10.453125" style="6" customWidth="1"/>
    <col min="2" max="2" width="11.90625" style="8" customWidth="1"/>
    <col min="3" max="3" width="22.54296875" style="5" customWidth="1"/>
    <col min="4" max="4" width="18.90625" style="5" customWidth="1"/>
    <col min="5" max="5" width="34.08984375" style="4" customWidth="1"/>
    <col min="6" max="6" width="9.90625" style="4" customWidth="1"/>
    <col min="7" max="7" width="13.54296875" style="4" customWidth="1"/>
    <col min="8" max="8" width="12.453125" style="4" customWidth="1"/>
    <col min="9" max="9" width="10.90625" style="4" customWidth="1"/>
    <col min="10" max="11" width="6.08984375" style="4" customWidth="1"/>
    <col min="12" max="12" width="5.90625" style="4" customWidth="1"/>
    <col min="13" max="14" width="9.08984375" style="4" customWidth="1"/>
    <col min="15" max="16" width="9.54296875" style="4" customWidth="1"/>
    <col min="17" max="17" width="13.54296875" style="4" customWidth="1"/>
    <col min="18" max="18" width="10.08984375" style="4" customWidth="1"/>
    <col min="19" max="19" width="34.08984375" style="4" customWidth="1"/>
    <col min="20" max="20" width="18.08984375" style="4" customWidth="1"/>
    <col min="21" max="21" width="18.54296875" style="4" customWidth="1"/>
    <col min="22" max="22" width="6.54296875" style="4" customWidth="1"/>
    <col min="23" max="23" width="4.453125" style="4" customWidth="1"/>
    <col min="24" max="24" width="6.54296875" style="4" customWidth="1"/>
    <col min="25" max="25" width="6.54296875" style="7" customWidth="1"/>
    <col min="26" max="26" width="7.453125" style="4" customWidth="1"/>
    <col min="27" max="27" width="5.08984375" style="4" customWidth="1"/>
    <col min="28" max="28" width="7.453125" style="4" bestFit="1" customWidth="1"/>
    <col min="29" max="29" width="8.453125" style="4" customWidth="1"/>
    <col min="30" max="32" width="8.54296875" style="4" bestFit="1" customWidth="1"/>
    <col min="33" max="33" width="7.453125" style="4" customWidth="1"/>
    <col min="34" max="34" width="7.08984375" style="4" customWidth="1"/>
    <col min="35" max="35" width="8.54296875" style="4" bestFit="1" customWidth="1"/>
    <col min="36" max="36" width="15.6328125" style="4" customWidth="1"/>
    <col min="37" max="37" width="17.453125" style="10" customWidth="1"/>
    <col min="38" max="38" width="30.90625" style="4" customWidth="1"/>
    <col min="39" max="39" width="31.54296875" style="4" customWidth="1"/>
    <col min="40" max="16384" width="7.453125" style="4"/>
  </cols>
  <sheetData>
    <row r="1" spans="1:40" ht="117" customHeight="1" thickBot="1" x14ac:dyDescent="0.35">
      <c r="A1" s="105" t="s">
        <v>326</v>
      </c>
      <c r="B1" s="105"/>
      <c r="C1" s="105"/>
      <c r="D1" s="105"/>
      <c r="E1" s="105" t="s">
        <v>327</v>
      </c>
      <c r="F1" s="105"/>
      <c r="G1" s="105"/>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9"/>
      <c r="AL1" s="50"/>
      <c r="AM1" s="50"/>
    </row>
    <row r="2" spans="1:40" s="86" customFormat="1" ht="21" customHeight="1" thickBot="1" x14ac:dyDescent="0.35">
      <c r="A2" s="93" t="s">
        <v>0</v>
      </c>
      <c r="B2" s="94"/>
      <c r="C2" s="94"/>
      <c r="D2" s="94"/>
      <c r="E2" s="94"/>
      <c r="F2" s="95"/>
      <c r="G2" s="99" t="s">
        <v>1</v>
      </c>
      <c r="H2" s="100"/>
      <c r="I2" s="100"/>
      <c r="J2" s="100"/>
      <c r="K2" s="100"/>
      <c r="L2" s="100"/>
      <c r="M2" s="100"/>
      <c r="N2" s="101"/>
      <c r="O2" s="115" t="s">
        <v>2</v>
      </c>
      <c r="P2" s="94"/>
      <c r="Q2" s="94"/>
      <c r="R2" s="94"/>
      <c r="S2" s="94"/>
      <c r="T2" s="94"/>
      <c r="U2" s="114"/>
      <c r="V2" s="93" t="s">
        <v>315</v>
      </c>
      <c r="W2" s="94"/>
      <c r="X2" s="94"/>
      <c r="Y2" s="94"/>
      <c r="Z2" s="94"/>
      <c r="AA2" s="94"/>
      <c r="AB2" s="114"/>
      <c r="AC2" s="93" t="s">
        <v>316</v>
      </c>
      <c r="AD2" s="94"/>
      <c r="AE2" s="94"/>
      <c r="AF2" s="94"/>
      <c r="AG2" s="94"/>
      <c r="AH2" s="94"/>
      <c r="AI2" s="114"/>
      <c r="AJ2" s="99" t="s">
        <v>317</v>
      </c>
      <c r="AK2" s="101"/>
      <c r="AL2" s="125" t="s">
        <v>4</v>
      </c>
      <c r="AM2" s="126"/>
      <c r="AN2" s="85"/>
    </row>
    <row r="3" spans="1:40" ht="21" customHeight="1" x14ac:dyDescent="0.3">
      <c r="A3" s="91" t="s">
        <v>5</v>
      </c>
      <c r="B3" s="96" t="s">
        <v>6</v>
      </c>
      <c r="C3" s="91" t="s">
        <v>7</v>
      </c>
      <c r="D3" s="91" t="s">
        <v>8</v>
      </c>
      <c r="E3" s="106" t="s">
        <v>9</v>
      </c>
      <c r="F3" s="91" t="s">
        <v>10</v>
      </c>
      <c r="G3" s="89" t="s">
        <v>11</v>
      </c>
      <c r="H3" s="89" t="s">
        <v>309</v>
      </c>
      <c r="I3" s="89" t="s">
        <v>12</v>
      </c>
      <c r="J3" s="89" t="s">
        <v>13</v>
      </c>
      <c r="K3" s="89"/>
      <c r="L3" s="89"/>
      <c r="M3" s="89" t="s">
        <v>14</v>
      </c>
      <c r="N3" s="98" t="s">
        <v>3</v>
      </c>
      <c r="O3" s="91" t="s">
        <v>15</v>
      </c>
      <c r="P3" s="91" t="s">
        <v>16</v>
      </c>
      <c r="Q3" s="91" t="s">
        <v>17</v>
      </c>
      <c r="R3" s="91"/>
      <c r="S3" s="91" t="s">
        <v>245</v>
      </c>
      <c r="T3" s="91" t="s">
        <v>18</v>
      </c>
      <c r="U3" s="91" t="s">
        <v>19</v>
      </c>
      <c r="V3" s="110" t="s">
        <v>20</v>
      </c>
      <c r="W3" s="110" t="s">
        <v>21</v>
      </c>
      <c r="X3" s="110" t="s">
        <v>22</v>
      </c>
      <c r="Y3" s="116" t="s">
        <v>23</v>
      </c>
      <c r="Z3" s="110" t="s">
        <v>24</v>
      </c>
      <c r="AA3" s="110" t="s">
        <v>25</v>
      </c>
      <c r="AB3" s="112" t="s">
        <v>26</v>
      </c>
      <c r="AC3" s="110" t="s">
        <v>20</v>
      </c>
      <c r="AD3" s="110" t="s">
        <v>27</v>
      </c>
      <c r="AE3" s="110" t="s">
        <v>22</v>
      </c>
      <c r="AF3" s="116" t="s">
        <v>23</v>
      </c>
      <c r="AG3" s="110" t="s">
        <v>24</v>
      </c>
      <c r="AH3" s="110" t="s">
        <v>25</v>
      </c>
      <c r="AI3" s="112" t="s">
        <v>26</v>
      </c>
      <c r="AJ3" s="123" t="s">
        <v>246</v>
      </c>
      <c r="AK3" s="121" t="s">
        <v>247</v>
      </c>
      <c r="AL3" s="126"/>
      <c r="AM3" s="126"/>
    </row>
    <row r="4" spans="1:40" ht="62" hidden="1" customHeight="1" x14ac:dyDescent="0.3">
      <c r="A4" s="92"/>
      <c r="B4" s="97"/>
      <c r="C4" s="92"/>
      <c r="D4" s="92"/>
      <c r="E4" s="107"/>
      <c r="F4" s="92"/>
      <c r="G4" s="90"/>
      <c r="H4" s="90"/>
      <c r="I4" s="90"/>
      <c r="J4" s="71" t="s">
        <v>28</v>
      </c>
      <c r="K4" s="71" t="s">
        <v>29</v>
      </c>
      <c r="L4" s="71" t="s">
        <v>30</v>
      </c>
      <c r="M4" s="90"/>
      <c r="N4" s="89"/>
      <c r="O4" s="92"/>
      <c r="P4" s="92"/>
      <c r="Q4" s="72" t="s">
        <v>31</v>
      </c>
      <c r="R4" s="72" t="s">
        <v>32</v>
      </c>
      <c r="S4" s="92"/>
      <c r="T4" s="92"/>
      <c r="U4" s="92"/>
      <c r="V4" s="111"/>
      <c r="W4" s="111"/>
      <c r="X4" s="111"/>
      <c r="Y4" s="117"/>
      <c r="Z4" s="111"/>
      <c r="AA4" s="111"/>
      <c r="AB4" s="113"/>
      <c r="AC4" s="111"/>
      <c r="AD4" s="111"/>
      <c r="AE4" s="111"/>
      <c r="AF4" s="117"/>
      <c r="AG4" s="111"/>
      <c r="AH4" s="111"/>
      <c r="AI4" s="113"/>
      <c r="AJ4" s="124"/>
      <c r="AK4" s="122"/>
      <c r="AL4" s="126"/>
      <c r="AM4" s="126"/>
    </row>
    <row r="5" spans="1:40" s="5" customFormat="1" ht="31.65" customHeight="1" x14ac:dyDescent="0.3">
      <c r="A5" s="66">
        <v>1</v>
      </c>
      <c r="B5" s="67" t="s">
        <v>259</v>
      </c>
      <c r="C5" s="66" t="s">
        <v>263</v>
      </c>
      <c r="D5" s="66" t="s">
        <v>264</v>
      </c>
      <c r="E5" s="66" t="s">
        <v>120</v>
      </c>
      <c r="F5" s="66">
        <v>6</v>
      </c>
      <c r="G5" s="68" t="s">
        <v>260</v>
      </c>
      <c r="H5" s="68">
        <v>250</v>
      </c>
      <c r="I5" s="68">
        <v>4</v>
      </c>
      <c r="J5" s="68" t="s">
        <v>261</v>
      </c>
      <c r="K5" s="68" t="s">
        <v>261</v>
      </c>
      <c r="L5" s="68" t="s">
        <v>261</v>
      </c>
      <c r="M5" s="68" t="s">
        <v>260</v>
      </c>
      <c r="N5" s="68" t="s">
        <v>260</v>
      </c>
      <c r="O5" s="66" t="s">
        <v>260</v>
      </c>
      <c r="P5" s="66" t="s">
        <v>260</v>
      </c>
      <c r="Q5" s="66" t="s">
        <v>211</v>
      </c>
      <c r="R5" s="66" t="s">
        <v>237</v>
      </c>
      <c r="S5" s="66" t="s">
        <v>36</v>
      </c>
      <c r="T5" s="66" t="s">
        <v>37</v>
      </c>
      <c r="U5" s="66" t="s">
        <v>46</v>
      </c>
      <c r="V5" s="40">
        <f>IFERROR(VLOOKUP(Q5,manual_tool_change_table[#All],4,FALSE),0)</f>
        <v>0.72</v>
      </c>
      <c r="W5" s="40">
        <f>IF(O5="No",F5*'Action Time'!$D$37,0)</f>
        <v>0</v>
      </c>
      <c r="X5" s="41">
        <f>VLOOKUP(T5,manipulation_table[#All],4,FALSE)</f>
        <v>0</v>
      </c>
      <c r="Y5" s="41">
        <f>(VLOOKUP(S5,position_table[#All],4,FALSE)*F5)+(IF(S5='Action Time'!$A$3,0.36,0))+(IF(S5='Action Time'!$A$6,0.36,0))+(IF(S5='Action Time'!$A$8,'Action Time'!$D$8,0))+(IF(S5='Action Time'!$A$9,'Action Time'!$D$9,0))</f>
        <v>8.64</v>
      </c>
      <c r="Z5" s="40">
        <f>VLOOKUP(E5,Connectors_Table[#All],4,FALSE)*F5</f>
        <v>0</v>
      </c>
      <c r="AA5" s="41">
        <f>VLOOKUP(U5,removal_table[#All],4,FALSE)</f>
        <v>1.44</v>
      </c>
      <c r="AB5" s="40">
        <f>SUM(V5:AA5)</f>
        <v>10.8</v>
      </c>
      <c r="AC5" s="40">
        <f>IF(N5="No", ,VLOOKUP(R5,robot_action_table[#All],2,FALSE))</f>
        <v>14</v>
      </c>
      <c r="AD5" s="40">
        <f>IF(N5="Yes",VLOOKUP("Robot traversal",robot_action_table[#All],2,FALSE),0)</f>
        <v>3</v>
      </c>
      <c r="AE5" s="40">
        <f>IF(N5="No",,VLOOKUP(T5,manipulation_table[#All],5,FALSE))</f>
        <v>0</v>
      </c>
      <c r="AF5" s="41">
        <f>IF(N5="No",,(VLOOKUP(S5,position_table[#All],5,FALSE)*F5))</f>
        <v>24</v>
      </c>
      <c r="AG5" s="41">
        <f>IF(N5="No",,VLOOKUP(E5,Connectors_Table[#All],6,FALSE)*F5)</f>
        <v>0</v>
      </c>
      <c r="AH5" s="41">
        <f>IF(N5="Yes",IF(U5="No removal",0,VLOOKUP("Object removal",robot_action_table[],2,FALSE)),0)</f>
        <v>6</v>
      </c>
      <c r="AI5" s="41">
        <f>SUM(AC5:AH5)</f>
        <v>47</v>
      </c>
      <c r="AJ5" s="41">
        <f>IF(N5="No",AB5,)</f>
        <v>0</v>
      </c>
      <c r="AK5" s="42">
        <f>IF(OR(AND(AJ4=0,AJ5&lt;&gt;0),AND(AJ5=0,AJ4&lt;&gt;0)),VLOOKUP("Task Changeover time",robot_action_table[#All],2,FALSE),0)</f>
        <v>0</v>
      </c>
      <c r="AL5" s="52"/>
      <c r="AM5" s="53"/>
    </row>
    <row r="6" spans="1:40" s="5" customFormat="1" ht="31.65" customHeight="1" x14ac:dyDescent="0.3">
      <c r="A6" s="66">
        <v>2</v>
      </c>
      <c r="B6" s="67" t="s">
        <v>265</v>
      </c>
      <c r="C6" s="66" t="s">
        <v>266</v>
      </c>
      <c r="D6" s="66" t="s">
        <v>42</v>
      </c>
      <c r="E6" s="66" t="s">
        <v>42</v>
      </c>
      <c r="F6" s="66">
        <v>0</v>
      </c>
      <c r="G6" s="68" t="s">
        <v>260</v>
      </c>
      <c r="H6" s="68">
        <v>180</v>
      </c>
      <c r="I6" s="68">
        <v>150</v>
      </c>
      <c r="J6" s="68" t="s">
        <v>261</v>
      </c>
      <c r="K6" s="68" t="s">
        <v>261</v>
      </c>
      <c r="L6" s="68" t="s">
        <v>261</v>
      </c>
      <c r="M6" s="68" t="s">
        <v>260</v>
      </c>
      <c r="N6" s="68" t="s">
        <v>260</v>
      </c>
      <c r="O6" s="66" t="s">
        <v>260</v>
      </c>
      <c r="P6" s="66" t="s">
        <v>262</v>
      </c>
      <c r="Q6" s="66" t="s">
        <v>43</v>
      </c>
      <c r="R6" s="66" t="s">
        <v>44</v>
      </c>
      <c r="S6" s="66" t="s">
        <v>45</v>
      </c>
      <c r="T6" s="66" t="s">
        <v>37</v>
      </c>
      <c r="U6" s="66" t="s">
        <v>46</v>
      </c>
      <c r="V6" s="40">
        <f>VLOOKUP(Q6,manual_tool_change_table[#All],4,FALSE)</f>
        <v>0</v>
      </c>
      <c r="W6" s="40">
        <f>IF(O6="No",F6*'Action Time'!$D$37,0)</f>
        <v>0</v>
      </c>
      <c r="X6" s="41">
        <f>VLOOKUP(T6,manipulation_table[#All],4,FALSE)</f>
        <v>0</v>
      </c>
      <c r="Y6" s="41">
        <f>(VLOOKUP(S6,position_table[#All],4,FALSE)*F6)+(IF(S6='Action Time'!$A$3,0.36,0))+(IF(S6='Action Time'!$A$6,0.36,0))+(IF(S6='Action Time'!$A$8,'Action Time'!$D$8,0))+(IF(S6='Action Time'!$A$9,'Action Time'!$D$9,0))</f>
        <v>1.44</v>
      </c>
      <c r="Z6" s="40">
        <f>VLOOKUP(E6,Connectors_Table[#All],4,FALSE)*F6</f>
        <v>0</v>
      </c>
      <c r="AA6" s="41">
        <f>VLOOKUP(U6,removal_table[#All],4,FALSE)</f>
        <v>1.44</v>
      </c>
      <c r="AB6" s="40">
        <f t="shared" ref="AB6:AB28" si="0">SUM(V6:AA6)</f>
        <v>2.88</v>
      </c>
      <c r="AC6" s="40">
        <f>IF(N6="No", ,VLOOKUP(R6,robot_action_table[#All],2,FALSE))</f>
        <v>0</v>
      </c>
      <c r="AD6" s="40">
        <f>IF(N6="Yes",VLOOKUP("Robot traversal",robot_action_table[#All],2,FALSE),0)</f>
        <v>3</v>
      </c>
      <c r="AE6" s="40">
        <f>IF(N6="No",,VLOOKUP(T6,manipulation_table[#All],5,FALSE))</f>
        <v>0</v>
      </c>
      <c r="AF6" s="41">
        <f>IF(N6="No",,(VLOOKUP(S6,position_table[#All],5,FALSE)*F6))</f>
        <v>0</v>
      </c>
      <c r="AG6" s="41">
        <f>IF(N6="No",,VLOOKUP(E6,Connectors_Table[#All],6,FALSE)*F6)</f>
        <v>0</v>
      </c>
      <c r="AH6" s="41">
        <f>IF(N6="Yes",IF(U6="No removal",0,VLOOKUP("Object removal",robot_action_table[],2,FALSE)),0)</f>
        <v>6</v>
      </c>
      <c r="AI6" s="41">
        <f t="shared" ref="AI6:AI28" si="1">SUM(AC6:AH6)</f>
        <v>9</v>
      </c>
      <c r="AJ6" s="41">
        <f t="shared" ref="AJ6:AJ28" si="2">IF(N6="No",AB6,)</f>
        <v>0</v>
      </c>
      <c r="AK6" s="42">
        <f>IF(OR(AND(AJ5=0,AJ6&lt;&gt;0),AND(AJ6=0,AJ5&lt;&gt;0)),VLOOKUP("Task Changeover time",robot_action_table[#All],2,FALSE),0)</f>
        <v>0</v>
      </c>
      <c r="AL6" s="54"/>
      <c r="AM6" s="55"/>
    </row>
    <row r="7" spans="1:40" ht="27.65" customHeight="1" x14ac:dyDescent="0.3">
      <c r="A7" s="66">
        <v>3</v>
      </c>
      <c r="B7" s="67" t="s">
        <v>259</v>
      </c>
      <c r="C7" s="66" t="s">
        <v>267</v>
      </c>
      <c r="D7" s="66" t="s">
        <v>268</v>
      </c>
      <c r="E7" s="66" t="s">
        <v>118</v>
      </c>
      <c r="F7" s="66">
        <v>2</v>
      </c>
      <c r="G7" s="68" t="s">
        <v>260</v>
      </c>
      <c r="H7" s="68">
        <v>2350</v>
      </c>
      <c r="I7" s="68">
        <v>150</v>
      </c>
      <c r="J7" s="68">
        <v>12</v>
      </c>
      <c r="K7" s="68">
        <v>10</v>
      </c>
      <c r="L7" s="68" t="s">
        <v>261</v>
      </c>
      <c r="M7" s="68" t="s">
        <v>260</v>
      </c>
      <c r="N7" s="68" t="s">
        <v>260</v>
      </c>
      <c r="O7" s="66" t="s">
        <v>260</v>
      </c>
      <c r="P7" s="66" t="s">
        <v>260</v>
      </c>
      <c r="Q7" s="66" t="s">
        <v>34</v>
      </c>
      <c r="R7" s="66" t="s">
        <v>237</v>
      </c>
      <c r="S7" s="66" t="s">
        <v>164</v>
      </c>
      <c r="T7" s="66" t="s">
        <v>173</v>
      </c>
      <c r="U7" s="66" t="s">
        <v>46</v>
      </c>
      <c r="V7" s="40">
        <f>VLOOKUP(Q7,manual_tool_change_table[#All],4,FALSE)</f>
        <v>1.44</v>
      </c>
      <c r="W7" s="40">
        <f>IF(O7="No",F7*'Action Time'!$D$37,0)</f>
        <v>0</v>
      </c>
      <c r="X7" s="41">
        <f>VLOOKUP(T7,manipulation_table[#All],4,FALSE)</f>
        <v>3.5999999999999996</v>
      </c>
      <c r="Y7" s="41">
        <f>(VLOOKUP(S7,position_table[#All],4,FALSE)*F7)+(IF(S7='Action Time'!$A$3,0.36,0))+(IF(S7='Action Time'!$A$6,0.36,0))+(IF(S7='Action Time'!$A$8,'Action Time'!$D$8,0))+(IF(S7='Action Time'!$A$9,'Action Time'!$D$9,0))</f>
        <v>5.04</v>
      </c>
      <c r="Z7" s="40">
        <f>VLOOKUP(E7,Connectors_Table[#All],4,FALSE)*F7</f>
        <v>7.1999999999999993</v>
      </c>
      <c r="AA7" s="41">
        <f>VLOOKUP(U7,removal_table[#All],4,FALSE)</f>
        <v>1.44</v>
      </c>
      <c r="AB7" s="40">
        <f t="shared" si="0"/>
        <v>18.72</v>
      </c>
      <c r="AC7" s="40">
        <f>IF(N7="No", ,VLOOKUP(R7,robot_action_table[#All],2,FALSE))</f>
        <v>14</v>
      </c>
      <c r="AD7" s="40">
        <f>IF(N7="Yes",VLOOKUP("Robot traversal",robot_action_table[#All],2,FALSE),0)</f>
        <v>3</v>
      </c>
      <c r="AE7" s="40">
        <f>IF(N7="No",,VLOOKUP(T7,manipulation_table[#All],5,FALSE))</f>
        <v>0</v>
      </c>
      <c r="AF7" s="41">
        <f>IF(N7="No",,(VLOOKUP(S7,position_table[#All],5,FALSE)*F7))</f>
        <v>8</v>
      </c>
      <c r="AG7" s="41">
        <f>IF(N7="No",,VLOOKUP(E7,Connectors_Table[#All],6,FALSE)*F7)</f>
        <v>0</v>
      </c>
      <c r="AH7" s="41">
        <f>IF(N7="Yes",IF(U7="No removal",0,VLOOKUP("Object removal",robot_action_table[],2,FALSE)),0)</f>
        <v>6</v>
      </c>
      <c r="AI7" s="41">
        <f t="shared" si="1"/>
        <v>31</v>
      </c>
      <c r="AJ7" s="41">
        <f t="shared" si="2"/>
        <v>0</v>
      </c>
      <c r="AK7" s="42">
        <f>IF(OR(AND(AJ6=0,AJ7&lt;&gt;0),AND(AJ7=0,AJ6&lt;&gt;0)),VLOOKUP("Task Changeover time",robot_action_table[#All],2,FALSE),0)</f>
        <v>0</v>
      </c>
      <c r="AL7" s="56"/>
      <c r="AM7" s="56"/>
    </row>
    <row r="8" spans="1:40" ht="24.65" customHeight="1" x14ac:dyDescent="0.3">
      <c r="A8" s="66">
        <v>4</v>
      </c>
      <c r="B8" s="67" t="s">
        <v>269</v>
      </c>
      <c r="C8" s="66" t="s">
        <v>270</v>
      </c>
      <c r="D8" s="66" t="s">
        <v>271</v>
      </c>
      <c r="E8" s="66" t="s">
        <v>108</v>
      </c>
      <c r="F8" s="66">
        <v>2</v>
      </c>
      <c r="G8" s="68" t="s">
        <v>262</v>
      </c>
      <c r="H8" s="68">
        <v>170</v>
      </c>
      <c r="I8" s="68">
        <v>7</v>
      </c>
      <c r="J8" s="68" t="s">
        <v>261</v>
      </c>
      <c r="K8" s="68" t="s">
        <v>261</v>
      </c>
      <c r="L8" s="68" t="s">
        <v>261</v>
      </c>
      <c r="M8" s="68" t="s">
        <v>262</v>
      </c>
      <c r="N8" s="68" t="s">
        <v>262</v>
      </c>
      <c r="O8" s="66" t="s">
        <v>260</v>
      </c>
      <c r="P8" s="66" t="s">
        <v>260</v>
      </c>
      <c r="Q8" s="66" t="s">
        <v>43</v>
      </c>
      <c r="R8" s="66" t="s">
        <v>44</v>
      </c>
      <c r="S8" s="66" t="s">
        <v>40</v>
      </c>
      <c r="T8" s="66" t="s">
        <v>37</v>
      </c>
      <c r="U8" s="66" t="s">
        <v>41</v>
      </c>
      <c r="V8" s="40">
        <f>VLOOKUP(Q8,manual_tool_change_table[#All],4,FALSE)</f>
        <v>0</v>
      </c>
      <c r="W8" s="40">
        <f>IF(O8="No",F8*'Action Time'!$D$37,0)</f>
        <v>0</v>
      </c>
      <c r="X8" s="41">
        <f>VLOOKUP(T8,manipulation_table[#All],4,FALSE)</f>
        <v>0</v>
      </c>
      <c r="Y8" s="41">
        <f>(VLOOKUP(S8,position_table[#All],4,FALSE)*F8)+(IF(S8='Action Time'!$A$3,0.36,0))+(IF(S8='Action Time'!$A$6,0.36,0))+(IF(S8='Action Time'!$A$8,'Action Time'!$D$8,0))+(IF(S8='Action Time'!$A$9,'Action Time'!$D$9,0))</f>
        <v>5.04</v>
      </c>
      <c r="Z8" s="40">
        <f>VLOOKUP(E8,Connectors_Table[#All],4,FALSE)*F8</f>
        <v>1.44</v>
      </c>
      <c r="AA8" s="41">
        <f>VLOOKUP(U8,removal_table[#All],4,FALSE)</f>
        <v>3.2399999999999998</v>
      </c>
      <c r="AB8" s="40">
        <f t="shared" si="0"/>
        <v>9.7200000000000006</v>
      </c>
      <c r="AC8" s="40">
        <f>IF(N8="No", ,VLOOKUP(R8,robot_action_table[#All],2,FALSE))</f>
        <v>0</v>
      </c>
      <c r="AD8" s="40">
        <f>IF(N8="Yes",VLOOKUP("Robot traversal",robot_action_table[#All],2,FALSE),0)</f>
        <v>0</v>
      </c>
      <c r="AE8" s="40">
        <f>IF(N8="No",,VLOOKUP(T8,manipulation_table[#All],5,FALSE))</f>
        <v>0</v>
      </c>
      <c r="AF8" s="41">
        <f>IF(N8="No",,(VLOOKUP(S8,position_table[#All],5,FALSE)*F8))</f>
        <v>0</v>
      </c>
      <c r="AG8" s="41">
        <f>IF(N8="No",,VLOOKUP(E8,Connectors_Table[#All],6,FALSE)*F8)</f>
        <v>0</v>
      </c>
      <c r="AH8" s="41">
        <f>IF(N8="Yes",IF(U8="No removal",0,VLOOKUP("Object removal",robot_action_table[],2,FALSE)),0)</f>
        <v>0</v>
      </c>
      <c r="AI8" s="41">
        <f t="shared" si="1"/>
        <v>0</v>
      </c>
      <c r="AJ8" s="41">
        <f t="shared" si="2"/>
        <v>9.7200000000000006</v>
      </c>
      <c r="AK8" s="42">
        <f>IF(OR(AND(AJ7=0,AJ8&lt;&gt;0),AND(AJ8=0,AJ7&lt;&gt;0)),VLOOKUP("Task Changeover time",robot_action_table[#All],2,FALSE),0)</f>
        <v>6</v>
      </c>
      <c r="AL8" s="56"/>
      <c r="AM8" s="56"/>
    </row>
    <row r="9" spans="1:40" ht="25.65" customHeight="1" x14ac:dyDescent="0.3">
      <c r="A9" s="66">
        <v>5</v>
      </c>
      <c r="B9" s="67" t="s">
        <v>272</v>
      </c>
      <c r="C9" s="66" t="s">
        <v>273</v>
      </c>
      <c r="D9" s="66" t="s">
        <v>274</v>
      </c>
      <c r="E9" s="66" t="s">
        <v>91</v>
      </c>
      <c r="F9" s="66">
        <v>1</v>
      </c>
      <c r="G9" s="68" t="s">
        <v>262</v>
      </c>
      <c r="H9" s="68">
        <v>300</v>
      </c>
      <c r="I9" s="68">
        <v>150</v>
      </c>
      <c r="J9" s="68" t="s">
        <v>261</v>
      </c>
      <c r="K9" s="68" t="s">
        <v>261</v>
      </c>
      <c r="L9" s="68" t="s">
        <v>261</v>
      </c>
      <c r="M9" s="68" t="s">
        <v>262</v>
      </c>
      <c r="N9" s="68" t="s">
        <v>262</v>
      </c>
      <c r="O9" s="66" t="s">
        <v>260</v>
      </c>
      <c r="P9" s="66" t="s">
        <v>262</v>
      </c>
      <c r="Q9" s="66" t="s">
        <v>43</v>
      </c>
      <c r="R9" s="66" t="s">
        <v>44</v>
      </c>
      <c r="S9" s="69" t="s">
        <v>158</v>
      </c>
      <c r="T9" s="66" t="s">
        <v>37</v>
      </c>
      <c r="U9" s="66" t="s">
        <v>38</v>
      </c>
      <c r="V9" s="40">
        <f>VLOOKUP(Q9,manual_tool_change_table[#All],4,FALSE)</f>
        <v>0</v>
      </c>
      <c r="W9" s="40">
        <f>IF(O9="No",F9*'Action Time'!$D$37,0)</f>
        <v>0</v>
      </c>
      <c r="X9" s="41">
        <f>VLOOKUP(T9,manipulation_table[#All],4,FALSE)</f>
        <v>0</v>
      </c>
      <c r="Y9" s="41">
        <f>(VLOOKUP(S9,position_table[#All],4,FALSE)*F9)+(IF(S9='Action Time'!$A$3,0.36,0))+(IF(S9='Action Time'!$A$6,0.36,0))+(IF(S9='Action Time'!$A$8,'Action Time'!$D$8,0))+(IF(S9='Action Time'!$A$9,'Action Time'!$D$9,0))</f>
        <v>1.44</v>
      </c>
      <c r="Z9" s="40">
        <f>VLOOKUP(E9,Connectors_Table[#All],4,FALSE)*F9</f>
        <v>0.36</v>
      </c>
      <c r="AA9" s="41">
        <f>VLOOKUP(U9,removal_table[#All],4,FALSE)</f>
        <v>0</v>
      </c>
      <c r="AB9" s="40">
        <f t="shared" si="0"/>
        <v>1.7999999999999998</v>
      </c>
      <c r="AC9" s="40">
        <f>IF(N9="No", ,VLOOKUP(R9,robot_action_table[#All],2,FALSE))</f>
        <v>0</v>
      </c>
      <c r="AD9" s="40">
        <f>IF(N9="Yes",VLOOKUP("Robot traversal",robot_action_table[#All],2,FALSE),0)</f>
        <v>0</v>
      </c>
      <c r="AE9" s="40">
        <f>IF(N9="No",,VLOOKUP(T9,manipulation_table[#All],5,FALSE))</f>
        <v>0</v>
      </c>
      <c r="AF9" s="41">
        <f>IF(N9="No",,(VLOOKUP(S9,position_table[#All],5,FALSE)*F9))</f>
        <v>0</v>
      </c>
      <c r="AG9" s="41">
        <f>IF(N9="No",,VLOOKUP(E9,Connectors_Table[#All],6,FALSE)*F9)</f>
        <v>0</v>
      </c>
      <c r="AH9" s="41">
        <f>IF(N9="Yes",IF(U9="No removal",0,VLOOKUP("Object removal",robot_action_table[],2,FALSE)),0)</f>
        <v>0</v>
      </c>
      <c r="AI9" s="41">
        <f t="shared" si="1"/>
        <v>0</v>
      </c>
      <c r="AJ9" s="41">
        <f t="shared" si="2"/>
        <v>1.7999999999999998</v>
      </c>
      <c r="AK9" s="42">
        <f>IF(OR(AND(AJ8=0,AJ9&lt;&gt;0),AND(AJ9=0,AJ8&lt;&gt;0)),VLOOKUP("Task Changeover time",robot_action_table[#All],2,FALSE),0)</f>
        <v>0</v>
      </c>
      <c r="AL9" s="53"/>
      <c r="AM9" s="56"/>
    </row>
    <row r="10" spans="1:40" ht="25.65" customHeight="1" x14ac:dyDescent="0.3">
      <c r="A10" s="66">
        <v>6</v>
      </c>
      <c r="B10" s="67" t="s">
        <v>275</v>
      </c>
      <c r="C10" s="66" t="s">
        <v>276</v>
      </c>
      <c r="D10" s="66" t="s">
        <v>271</v>
      </c>
      <c r="E10" s="66" t="s">
        <v>108</v>
      </c>
      <c r="F10" s="66">
        <v>1</v>
      </c>
      <c r="G10" s="68" t="s">
        <v>260</v>
      </c>
      <c r="H10" s="68">
        <v>300</v>
      </c>
      <c r="I10" s="68">
        <v>150</v>
      </c>
      <c r="J10" s="68">
        <v>12</v>
      </c>
      <c r="K10" s="68" t="s">
        <v>261</v>
      </c>
      <c r="L10" s="68">
        <v>5</v>
      </c>
      <c r="M10" s="68" t="s">
        <v>262</v>
      </c>
      <c r="N10" s="68" t="s">
        <v>262</v>
      </c>
      <c r="O10" s="66" t="s">
        <v>260</v>
      </c>
      <c r="P10" s="66" t="s">
        <v>262</v>
      </c>
      <c r="Q10" s="66" t="s">
        <v>43</v>
      </c>
      <c r="R10" s="66" t="s">
        <v>44</v>
      </c>
      <c r="S10" s="66" t="s">
        <v>158</v>
      </c>
      <c r="T10" s="66" t="s">
        <v>37</v>
      </c>
      <c r="U10" s="66" t="s">
        <v>46</v>
      </c>
      <c r="V10" s="40">
        <f>VLOOKUP(Q10,manual_tool_change_table[#All],4,FALSE)</f>
        <v>0</v>
      </c>
      <c r="W10" s="40">
        <f>IF(O10="No",F10*'Action Time'!$D$37,0)</f>
        <v>0</v>
      </c>
      <c r="X10" s="41">
        <f>VLOOKUP(T10,manipulation_table[#All],4,FALSE)</f>
        <v>0</v>
      </c>
      <c r="Y10" s="41">
        <f>(VLOOKUP(S10,position_table[#All],4,FALSE)*F10)+(IF(S10='Action Time'!$A$3,0.36,0))+(IF(S10='Action Time'!$A$6,0.36,0))+(IF(S10='Action Time'!$A$8,'Action Time'!$D$8,0))+(IF(S10='Action Time'!$A$9,'Action Time'!$D$9,0))</f>
        <v>1.44</v>
      </c>
      <c r="Z10" s="40">
        <f>VLOOKUP(E10,Connectors_Table[#All],4,FALSE)*F10</f>
        <v>0.72</v>
      </c>
      <c r="AA10" s="41">
        <f>VLOOKUP(U10,removal_table[#All],4,FALSE)</f>
        <v>1.44</v>
      </c>
      <c r="AB10" s="40">
        <f t="shared" si="0"/>
        <v>3.6</v>
      </c>
      <c r="AC10" s="40">
        <f>IF(N10="No", ,VLOOKUP(R10,robot_action_table[#All],2,FALSE))</f>
        <v>0</v>
      </c>
      <c r="AD10" s="40">
        <f>IF(N10="Yes",VLOOKUP("Robot traversal",robot_action_table[#All],2,FALSE),0)</f>
        <v>0</v>
      </c>
      <c r="AE10" s="40">
        <f>IF(N10="No",,VLOOKUP(T10,manipulation_table[#All],5,FALSE))</f>
        <v>0</v>
      </c>
      <c r="AF10" s="41">
        <f>IF(N10="No",,(VLOOKUP(S10,position_table[#All],5,FALSE)*F10))</f>
        <v>0</v>
      </c>
      <c r="AG10" s="41">
        <f>IF(N10="No",,VLOOKUP(E10,Connectors_Table[#All],6,FALSE)*F10)</f>
        <v>0</v>
      </c>
      <c r="AH10" s="41">
        <f>IF(N10="Yes",IF(U10="No removal",0,VLOOKUP("Object removal",robot_action_table[],2,FALSE)),0)</f>
        <v>0</v>
      </c>
      <c r="AI10" s="41">
        <f t="shared" si="1"/>
        <v>0</v>
      </c>
      <c r="AJ10" s="41">
        <f t="shared" si="2"/>
        <v>3.6</v>
      </c>
      <c r="AK10" s="42">
        <f>IF(OR(AND(AJ9=0,AJ10&lt;&gt;0),AND(AJ10=0,AJ9&lt;&gt;0)),VLOOKUP("Task Changeover time",robot_action_table[#All],2,FALSE),0)</f>
        <v>0</v>
      </c>
      <c r="AL10" s="56"/>
      <c r="AM10" s="56"/>
    </row>
    <row r="11" spans="1:40" ht="28.65" customHeight="1" x14ac:dyDescent="0.3">
      <c r="A11" s="66">
        <v>7</v>
      </c>
      <c r="B11" s="67" t="s">
        <v>277</v>
      </c>
      <c r="C11" s="70" t="s">
        <v>278</v>
      </c>
      <c r="D11" s="66" t="s">
        <v>271</v>
      </c>
      <c r="E11" s="66" t="s">
        <v>108</v>
      </c>
      <c r="F11" s="66">
        <v>6</v>
      </c>
      <c r="G11" s="68" t="s">
        <v>260</v>
      </c>
      <c r="H11" s="68">
        <v>200</v>
      </c>
      <c r="I11" s="68">
        <v>120</v>
      </c>
      <c r="J11" s="68">
        <v>18</v>
      </c>
      <c r="K11" s="68">
        <v>5</v>
      </c>
      <c r="L11" s="68">
        <v>20</v>
      </c>
      <c r="M11" s="68" t="s">
        <v>262</v>
      </c>
      <c r="N11" s="68" t="s">
        <v>262</v>
      </c>
      <c r="O11" s="66" t="s">
        <v>260</v>
      </c>
      <c r="P11" s="66" t="s">
        <v>262</v>
      </c>
      <c r="Q11" s="66" t="s">
        <v>43</v>
      </c>
      <c r="R11" s="66" t="s">
        <v>44</v>
      </c>
      <c r="S11" s="66" t="s">
        <v>36</v>
      </c>
      <c r="T11" s="66" t="s">
        <v>37</v>
      </c>
      <c r="U11" s="66" t="s">
        <v>41</v>
      </c>
      <c r="V11" s="40">
        <f>VLOOKUP(Q11,manual_tool_change_table[#All],4,FALSE)</f>
        <v>0</v>
      </c>
      <c r="W11" s="40">
        <f>IF(O11="No",F11*'Action Time'!$D$37,0)</f>
        <v>0</v>
      </c>
      <c r="X11" s="41">
        <f>VLOOKUP(T11,manipulation_table[#All],4,FALSE)</f>
        <v>0</v>
      </c>
      <c r="Y11" s="41">
        <f>(VLOOKUP(S11,position_table[#All],4,FALSE)*F11)+(IF(S11='Action Time'!$A$3,0.36,0))+(IF(S11='Action Time'!$A$6,0.36,0))+(IF(S11='Action Time'!$A$8,'Action Time'!$D$8,0))+(IF(S11='Action Time'!$A$9,'Action Time'!$D$9,0))</f>
        <v>8.64</v>
      </c>
      <c r="Z11" s="40">
        <f>VLOOKUP(E11,Connectors_Table[#All],4,FALSE)*F11</f>
        <v>4.32</v>
      </c>
      <c r="AA11" s="41">
        <f>VLOOKUP(U11,removal_table[#All],4,FALSE)</f>
        <v>3.2399999999999998</v>
      </c>
      <c r="AB11" s="40">
        <f t="shared" si="0"/>
        <v>16.2</v>
      </c>
      <c r="AC11" s="40">
        <f>IF(N11="No", ,VLOOKUP(R11,robot_action_table[#All],2,FALSE))</f>
        <v>0</v>
      </c>
      <c r="AD11" s="40">
        <f>IF(N11="Yes",VLOOKUP("Robot traversal",robot_action_table[#All],2,FALSE),0)</f>
        <v>0</v>
      </c>
      <c r="AE11" s="40">
        <f>IF(N11="No",,VLOOKUP(T11,manipulation_table[#All],5,FALSE))</f>
        <v>0</v>
      </c>
      <c r="AF11" s="41">
        <f>IF(N11="No",,(VLOOKUP(S11,position_table[#All],5,FALSE)*F11))</f>
        <v>0</v>
      </c>
      <c r="AG11" s="41">
        <f>IF(N11="No",,VLOOKUP(E11,Connectors_Table[#All],6,FALSE)*F11)</f>
        <v>0</v>
      </c>
      <c r="AH11" s="41">
        <f>IF(N11="Yes",IF(U11="No removal",0,VLOOKUP("Object removal",robot_action_table[],2,FALSE)),0)</f>
        <v>0</v>
      </c>
      <c r="AI11" s="41">
        <f t="shared" si="1"/>
        <v>0</v>
      </c>
      <c r="AJ11" s="41">
        <f t="shared" si="2"/>
        <v>16.2</v>
      </c>
      <c r="AK11" s="42">
        <f>IF(OR(AND(AJ10=0,AJ11&lt;&gt;0),AND(AJ11=0,AJ10&lt;&gt;0)),VLOOKUP("Task Changeover time",robot_action_table[#All],2,FALSE),0)</f>
        <v>0</v>
      </c>
      <c r="AL11" s="56"/>
      <c r="AM11" s="56"/>
    </row>
    <row r="12" spans="1:40" ht="25.65" customHeight="1" x14ac:dyDescent="0.3">
      <c r="A12" s="66">
        <v>8</v>
      </c>
      <c r="B12" s="67" t="s">
        <v>269</v>
      </c>
      <c r="C12" s="66" t="s">
        <v>279</v>
      </c>
      <c r="D12" s="66" t="s">
        <v>274</v>
      </c>
      <c r="E12" s="66" t="s">
        <v>91</v>
      </c>
      <c r="F12" s="66">
        <v>1</v>
      </c>
      <c r="G12" s="68" t="s">
        <v>262</v>
      </c>
      <c r="H12" s="68">
        <v>550</v>
      </c>
      <c r="I12" s="68">
        <v>95</v>
      </c>
      <c r="J12" s="68" t="s">
        <v>261</v>
      </c>
      <c r="K12" s="68" t="s">
        <v>261</v>
      </c>
      <c r="L12" s="68" t="s">
        <v>261</v>
      </c>
      <c r="M12" s="68" t="s">
        <v>262</v>
      </c>
      <c r="N12" s="68" t="s">
        <v>262</v>
      </c>
      <c r="O12" s="66" t="s">
        <v>260</v>
      </c>
      <c r="P12" s="66" t="s">
        <v>262</v>
      </c>
      <c r="Q12" s="66" t="s">
        <v>43</v>
      </c>
      <c r="R12" s="66" t="s">
        <v>44</v>
      </c>
      <c r="S12" s="66" t="s">
        <v>158</v>
      </c>
      <c r="T12" s="66" t="s">
        <v>37</v>
      </c>
      <c r="U12" s="66" t="s">
        <v>38</v>
      </c>
      <c r="V12" s="40">
        <f>VLOOKUP(Q12,manual_tool_change_table[#All],4,FALSE)</f>
        <v>0</v>
      </c>
      <c r="W12" s="40">
        <f>IF(O12="No",F12*'Action Time'!$D$37,0)</f>
        <v>0</v>
      </c>
      <c r="X12" s="41">
        <f>VLOOKUP(T12,manipulation_table[#All],4,FALSE)</f>
        <v>0</v>
      </c>
      <c r="Y12" s="41">
        <f>(VLOOKUP(S12,position_table[#All],4,FALSE)*F12)+(IF(S12='Action Time'!$A$3,0.36,0))+(IF(S12='Action Time'!$A$6,0.36,0))+(IF(S12='Action Time'!$A$8,'Action Time'!$D$8,0))+(IF(S12='Action Time'!$A$9,'Action Time'!$D$9,0))</f>
        <v>1.44</v>
      </c>
      <c r="Z12" s="40">
        <f>VLOOKUP(E12,Connectors_Table[#All],4,FALSE)*F12</f>
        <v>0.36</v>
      </c>
      <c r="AA12" s="41">
        <f>VLOOKUP(U12,removal_table[#All],4,FALSE)</f>
        <v>0</v>
      </c>
      <c r="AB12" s="40">
        <f t="shared" si="0"/>
        <v>1.7999999999999998</v>
      </c>
      <c r="AC12" s="40">
        <f>IF(N12="No", ,VLOOKUP(R12,robot_action_table[#All],2,FALSE))</f>
        <v>0</v>
      </c>
      <c r="AD12" s="40">
        <f>IF(N12="Yes",VLOOKUP("Robot traversal",robot_action_table[#All],2,FALSE),0)</f>
        <v>0</v>
      </c>
      <c r="AE12" s="40">
        <f>IF(N12="No",,VLOOKUP(T12,manipulation_table[#All],5,FALSE))</f>
        <v>0</v>
      </c>
      <c r="AF12" s="41">
        <f>IF(N12="No",,(VLOOKUP(S12,position_table[#All],5,FALSE)*F12))</f>
        <v>0</v>
      </c>
      <c r="AG12" s="41">
        <f>IF(N12="No",,VLOOKUP(E12,Connectors_Table[#All],6,FALSE)*F12)</f>
        <v>0</v>
      </c>
      <c r="AH12" s="41">
        <f>IF(N12="Yes",IF(U12="No removal",0,VLOOKUP("Object removal",robot_action_table[],2,FALSE)),0)</f>
        <v>0</v>
      </c>
      <c r="AI12" s="41">
        <f t="shared" si="1"/>
        <v>0</v>
      </c>
      <c r="AJ12" s="41">
        <f t="shared" si="2"/>
        <v>1.7999999999999998</v>
      </c>
      <c r="AK12" s="42">
        <f>IF(OR(AND(AJ11=0,AJ12&lt;&gt;0),AND(AJ12=0,AJ11&lt;&gt;0)),VLOOKUP("Task Changeover time",robot_action_table[#All],2,FALSE),0)</f>
        <v>0</v>
      </c>
      <c r="AL12" s="56"/>
      <c r="AM12" s="56"/>
    </row>
    <row r="13" spans="1:40" ht="25.65" customHeight="1" x14ac:dyDescent="0.3">
      <c r="A13" s="66">
        <v>9</v>
      </c>
      <c r="B13" s="67" t="s">
        <v>280</v>
      </c>
      <c r="C13" s="70" t="s">
        <v>279</v>
      </c>
      <c r="D13" s="66" t="s">
        <v>281</v>
      </c>
      <c r="E13" s="66" t="s">
        <v>127</v>
      </c>
      <c r="F13" s="66">
        <v>6</v>
      </c>
      <c r="G13" s="68" t="s">
        <v>260</v>
      </c>
      <c r="H13" s="68">
        <v>550</v>
      </c>
      <c r="I13" s="68">
        <v>95</v>
      </c>
      <c r="J13" s="68">
        <v>62</v>
      </c>
      <c r="K13" s="68">
        <v>3</v>
      </c>
      <c r="L13" s="68">
        <v>90</v>
      </c>
      <c r="M13" s="68" t="s">
        <v>260</v>
      </c>
      <c r="N13" s="68" t="s">
        <v>260</v>
      </c>
      <c r="O13" s="66" t="s">
        <v>260</v>
      </c>
      <c r="P13" s="66" t="s">
        <v>260</v>
      </c>
      <c r="Q13" s="66" t="s">
        <v>209</v>
      </c>
      <c r="R13" s="66" t="s">
        <v>237</v>
      </c>
      <c r="S13" s="66" t="s">
        <v>36</v>
      </c>
      <c r="T13" s="66" t="s">
        <v>37</v>
      </c>
      <c r="U13" s="66" t="s">
        <v>46</v>
      </c>
      <c r="V13" s="40">
        <f>VLOOKUP(Q13,manual_tool_change_table[#All],4,FALSE)</f>
        <v>0.72</v>
      </c>
      <c r="W13" s="40">
        <f>IF(O13="No",F13*'Action Time'!$D$37,0)</f>
        <v>0</v>
      </c>
      <c r="X13" s="41">
        <f>VLOOKUP(T13,manipulation_table[#All],4,FALSE)</f>
        <v>0</v>
      </c>
      <c r="Y13" s="41">
        <f>(VLOOKUP(S13,position_table[#All],4,FALSE)*F13)+(IF(S13='Action Time'!$A$3,0.36,0))+(IF(S13='Action Time'!$A$6,0.36,0))+(IF(S13='Action Time'!$A$8,'Action Time'!$D$8,0))+(IF(S13='Action Time'!$A$9,'Action Time'!$D$9,0))</f>
        <v>8.64</v>
      </c>
      <c r="Z13" s="40">
        <f>VLOOKUP(E13,Connectors_Table[#All],4,FALSE)*F13</f>
        <v>12.959999999999997</v>
      </c>
      <c r="AA13" s="41">
        <f>VLOOKUP(U13,removal_table[#All],4,FALSE)</f>
        <v>1.44</v>
      </c>
      <c r="AB13" s="40">
        <f t="shared" si="0"/>
        <v>23.76</v>
      </c>
      <c r="AC13" s="40">
        <f>IF(N13="No", ,VLOOKUP(R13,robot_action_table[#All],2,FALSE))</f>
        <v>14</v>
      </c>
      <c r="AD13" s="40">
        <f>IF(N13="Yes",VLOOKUP("Robot traversal",robot_action_table[#All],2,FALSE),0)</f>
        <v>3</v>
      </c>
      <c r="AE13" s="40">
        <f>IF(N13="No",,VLOOKUP(T13,manipulation_table[#All],5,FALSE))</f>
        <v>0</v>
      </c>
      <c r="AF13" s="41">
        <f>IF(N13="No",,(VLOOKUP(S13,position_table[#All],5,FALSE)*F13))</f>
        <v>24</v>
      </c>
      <c r="AG13" s="41">
        <f>IF(N13="No",,VLOOKUP(E13,Connectors_Table[#All],6,FALSE)*F13)</f>
        <v>10.8</v>
      </c>
      <c r="AH13" s="41">
        <f>IF(N13="Yes",IF(U13="No removal",0,VLOOKUP("Object removal",robot_action_table[],2,FALSE)),0)</f>
        <v>6</v>
      </c>
      <c r="AI13" s="41">
        <f t="shared" si="1"/>
        <v>57.8</v>
      </c>
      <c r="AJ13" s="41">
        <f t="shared" si="2"/>
        <v>0</v>
      </c>
      <c r="AK13" s="42">
        <f>IF(OR(AND(AJ12=0,AJ13&lt;&gt;0),AND(AJ13=0,AJ12&lt;&gt;0)),VLOOKUP("Task Changeover time",robot_action_table[#All],2,FALSE),0)</f>
        <v>6</v>
      </c>
      <c r="AL13" s="56"/>
      <c r="AM13" s="56"/>
    </row>
    <row r="14" spans="1:40" ht="28.65" customHeight="1" x14ac:dyDescent="0.3">
      <c r="A14" s="66">
        <v>10</v>
      </c>
      <c r="B14" s="67" t="s">
        <v>282</v>
      </c>
      <c r="C14" s="66" t="s">
        <v>283</v>
      </c>
      <c r="D14" s="66" t="s">
        <v>281</v>
      </c>
      <c r="E14" s="66" t="s">
        <v>130</v>
      </c>
      <c r="F14" s="66">
        <v>2</v>
      </c>
      <c r="G14" s="68" t="s">
        <v>260</v>
      </c>
      <c r="H14" s="68">
        <v>150</v>
      </c>
      <c r="I14" s="68">
        <v>90</v>
      </c>
      <c r="J14" s="68">
        <v>6</v>
      </c>
      <c r="K14" s="68" t="s">
        <v>261</v>
      </c>
      <c r="L14" s="68" t="s">
        <v>261</v>
      </c>
      <c r="M14" s="68" t="s">
        <v>260</v>
      </c>
      <c r="N14" s="68" t="s">
        <v>260</v>
      </c>
      <c r="O14" s="66" t="s">
        <v>260</v>
      </c>
      <c r="P14" s="66" t="s">
        <v>260</v>
      </c>
      <c r="Q14" s="66" t="s">
        <v>211</v>
      </c>
      <c r="R14" s="66" t="s">
        <v>35</v>
      </c>
      <c r="S14" s="66" t="s">
        <v>160</v>
      </c>
      <c r="T14" s="66" t="s">
        <v>37</v>
      </c>
      <c r="U14" s="66" t="s">
        <v>38</v>
      </c>
      <c r="V14" s="40">
        <f>VLOOKUP(Q14,manual_tool_change_table[#All],4,FALSE)</f>
        <v>0.72</v>
      </c>
      <c r="W14" s="40">
        <f>IF(O14="No",F14*'Action Time'!$D$37,0)</f>
        <v>0</v>
      </c>
      <c r="X14" s="41">
        <f>VLOOKUP(T14,manipulation_table[#All],4,FALSE)</f>
        <v>0</v>
      </c>
      <c r="Y14" s="41">
        <f>(VLOOKUP(S14,position_table[#All],4,FALSE)*F14)+(IF(S14='Action Time'!$A$3,0.36,0))+(IF(S14='Action Time'!$A$6,0.36,0))+(IF(S14='Action Time'!$A$8,'Action Time'!$D$8,0))+(IF(S14='Action Time'!$A$9,'Action Time'!$D$9,0))</f>
        <v>2.5199999999999996</v>
      </c>
      <c r="Z14" s="40">
        <f>VLOOKUP(E14,Connectors_Table[#All],4,FALSE)*F14</f>
        <v>11.52</v>
      </c>
      <c r="AA14" s="41">
        <f>VLOOKUP(U14,removal_table[#All],4,FALSE)</f>
        <v>0</v>
      </c>
      <c r="AB14" s="40">
        <f t="shared" si="0"/>
        <v>14.759999999999998</v>
      </c>
      <c r="AC14" s="40">
        <f>IF(N14="No", ,VLOOKUP(R14,robot_action_table[#All],2,FALSE))</f>
        <v>7</v>
      </c>
      <c r="AD14" s="40">
        <f>IF(N14="Yes",VLOOKUP("Robot traversal",robot_action_table[#All],2,FALSE),0)</f>
        <v>3</v>
      </c>
      <c r="AE14" s="40">
        <f>IF(N14="No",,VLOOKUP(T14,manipulation_table[#All],5,FALSE))</f>
        <v>0</v>
      </c>
      <c r="AF14" s="41">
        <f>IF(N14="No",,(VLOOKUP(S14,position_table[#All],5,FALSE)*F14))</f>
        <v>5</v>
      </c>
      <c r="AG14" s="41">
        <f>IF(N14="No",,VLOOKUP(E14,Connectors_Table[#All],6,FALSE)*F14)</f>
        <v>7.2</v>
      </c>
      <c r="AH14" s="41">
        <f>IF(N14="Yes",IF(U14="No removal",0,VLOOKUP("Object removal",robot_action_table[],2,FALSE)),0)</f>
        <v>0</v>
      </c>
      <c r="AI14" s="41">
        <f t="shared" si="1"/>
        <v>22.2</v>
      </c>
      <c r="AJ14" s="41">
        <f t="shared" si="2"/>
        <v>0</v>
      </c>
      <c r="AK14" s="42">
        <f>IF(OR(AND(AJ13=0,AJ14&lt;&gt;0),AND(AJ14=0,AJ13&lt;&gt;0)),VLOOKUP("Task Changeover time",robot_action_table[#All],2,FALSE),0)</f>
        <v>0</v>
      </c>
      <c r="AL14" s="56"/>
      <c r="AM14" s="56"/>
    </row>
    <row r="15" spans="1:40" ht="25.65" customHeight="1" x14ac:dyDescent="0.3">
      <c r="A15" s="66">
        <v>11</v>
      </c>
      <c r="B15" s="67" t="s">
        <v>284</v>
      </c>
      <c r="C15" s="66" t="s">
        <v>285</v>
      </c>
      <c r="D15" s="66" t="s">
        <v>274</v>
      </c>
      <c r="E15" s="66" t="s">
        <v>91</v>
      </c>
      <c r="F15" s="66">
        <v>2</v>
      </c>
      <c r="G15" s="68" t="s">
        <v>260</v>
      </c>
      <c r="H15" s="68" t="s">
        <v>286</v>
      </c>
      <c r="I15" s="68" t="s">
        <v>286</v>
      </c>
      <c r="J15" s="68" t="s">
        <v>261</v>
      </c>
      <c r="K15" s="68" t="s">
        <v>261</v>
      </c>
      <c r="L15" s="68" t="s">
        <v>261</v>
      </c>
      <c r="M15" s="68" t="s">
        <v>262</v>
      </c>
      <c r="N15" s="68" t="s">
        <v>262</v>
      </c>
      <c r="O15" s="66" t="s">
        <v>260</v>
      </c>
      <c r="P15" s="66" t="s">
        <v>262</v>
      </c>
      <c r="Q15" s="66" t="s">
        <v>43</v>
      </c>
      <c r="R15" s="66" t="s">
        <v>44</v>
      </c>
      <c r="S15" s="66" t="s">
        <v>166</v>
      </c>
      <c r="T15" s="66" t="s">
        <v>37</v>
      </c>
      <c r="U15" s="66" t="s">
        <v>38</v>
      </c>
      <c r="V15" s="40">
        <f>VLOOKUP(Q15,manual_tool_change_table[#All],4,FALSE)</f>
        <v>0</v>
      </c>
      <c r="W15" s="40">
        <f>IF(O15="No",F15*'Action Time'!$D$37,0)</f>
        <v>0</v>
      </c>
      <c r="X15" s="41">
        <f>VLOOKUP(T15,manipulation_table[#All],4,FALSE)</f>
        <v>0</v>
      </c>
      <c r="Y15" s="41">
        <f>(VLOOKUP(S15,position_table[#All],4,FALSE)*F15)+(IF(S15='Action Time'!$A$3,0.36,0))+(IF(S15='Action Time'!$A$6,0.36,0))+(IF(S15='Action Time'!$A$8,'Action Time'!$D$8,0))+(IF(S15='Action Time'!$A$9,'Action Time'!$D$9,0))</f>
        <v>4.68</v>
      </c>
      <c r="Z15" s="40">
        <f>VLOOKUP(E15,Connectors_Table[#All],4,FALSE)*F15</f>
        <v>0.72</v>
      </c>
      <c r="AA15" s="41">
        <f>VLOOKUP(U15,removal_table[#All],4,FALSE)</f>
        <v>0</v>
      </c>
      <c r="AB15" s="40">
        <f t="shared" si="0"/>
        <v>5.3999999999999995</v>
      </c>
      <c r="AC15" s="40">
        <f>IF(N15="No", ,VLOOKUP(R15,robot_action_table[#All],2,FALSE))</f>
        <v>0</v>
      </c>
      <c r="AD15" s="40">
        <f>IF(N15="Yes",VLOOKUP("Robot traversal",robot_action_table[#All],2,FALSE),0)</f>
        <v>0</v>
      </c>
      <c r="AE15" s="40">
        <f>IF(N15="No",,VLOOKUP(T15,manipulation_table[#All],5,FALSE))</f>
        <v>0</v>
      </c>
      <c r="AF15" s="41">
        <f>IF(N15="No",,(VLOOKUP(S15,position_table[#All],5,FALSE)*F15))</f>
        <v>0</v>
      </c>
      <c r="AG15" s="41">
        <f>IF(N15="No",,VLOOKUP(E15,Connectors_Table[#All],6,FALSE)*F15)</f>
        <v>0</v>
      </c>
      <c r="AH15" s="41">
        <f>IF(N15="Yes",IF(U15="No removal",0,VLOOKUP("Object removal",robot_action_table[],2,FALSE)),0)</f>
        <v>0</v>
      </c>
      <c r="AI15" s="41">
        <f t="shared" si="1"/>
        <v>0</v>
      </c>
      <c r="AJ15" s="41">
        <f t="shared" si="2"/>
        <v>5.3999999999999995</v>
      </c>
      <c r="AK15" s="42">
        <f>IF(OR(AND(AJ14=0,AJ15&lt;&gt;0),AND(AJ15=0,AJ14&lt;&gt;0)),VLOOKUP("Task Changeover time",robot_action_table[#All],2,FALSE),0)</f>
        <v>6</v>
      </c>
      <c r="AL15" s="56"/>
      <c r="AM15" s="56"/>
    </row>
    <row r="16" spans="1:40" ht="26.4" customHeight="1" x14ac:dyDescent="0.3">
      <c r="A16" s="66">
        <v>12</v>
      </c>
      <c r="B16" s="67" t="s">
        <v>287</v>
      </c>
      <c r="C16" s="66" t="s">
        <v>285</v>
      </c>
      <c r="D16" s="66" t="s">
        <v>271</v>
      </c>
      <c r="E16" s="66" t="s">
        <v>108</v>
      </c>
      <c r="F16" s="66">
        <v>2</v>
      </c>
      <c r="G16" s="68" t="s">
        <v>260</v>
      </c>
      <c r="H16" s="68">
        <v>550</v>
      </c>
      <c r="I16" s="68">
        <v>150</v>
      </c>
      <c r="J16" s="68" t="s">
        <v>261</v>
      </c>
      <c r="K16" s="68">
        <v>0</v>
      </c>
      <c r="L16" s="68">
        <v>14</v>
      </c>
      <c r="M16" s="68" t="s">
        <v>262</v>
      </c>
      <c r="N16" s="68" t="s">
        <v>262</v>
      </c>
      <c r="O16" s="66" t="s">
        <v>260</v>
      </c>
      <c r="P16" s="66" t="s">
        <v>262</v>
      </c>
      <c r="Q16" s="66" t="s">
        <v>43</v>
      </c>
      <c r="R16" s="66" t="s">
        <v>44</v>
      </c>
      <c r="S16" s="66" t="s">
        <v>40</v>
      </c>
      <c r="T16" s="66" t="s">
        <v>41</v>
      </c>
      <c r="U16" s="66" t="s">
        <v>186</v>
      </c>
      <c r="V16" s="40">
        <f>VLOOKUP(Q16,manual_tool_change_table[#All],4,FALSE)</f>
        <v>0</v>
      </c>
      <c r="W16" s="40">
        <f>IF(O16="No",F16*'Action Time'!$D$37,0)</f>
        <v>0</v>
      </c>
      <c r="X16" s="41">
        <f>VLOOKUP(T16,manipulation_table[#All],4,FALSE)</f>
        <v>3.2399999999999998</v>
      </c>
      <c r="Y16" s="41">
        <f>(VLOOKUP(S16,position_table[#All],4,FALSE)*F16)+(IF(S16='Action Time'!$A$3,0.36,0))+(IF(S16='Action Time'!$A$6,0.36,0))+(IF(S16='Action Time'!$A$8,'Action Time'!$D$8,0))+(IF(S16='Action Time'!$A$9,'Action Time'!$D$9,0))</f>
        <v>5.04</v>
      </c>
      <c r="Z16" s="40">
        <f>VLOOKUP(E16,Connectors_Table[#All],4,FALSE)*F16</f>
        <v>1.44</v>
      </c>
      <c r="AA16" s="41">
        <f>VLOOKUP(U16,removal_table[#All],4,FALSE)</f>
        <v>2.1599999999999997</v>
      </c>
      <c r="AB16" s="40">
        <f t="shared" si="0"/>
        <v>11.879999999999999</v>
      </c>
      <c r="AC16" s="40">
        <f>IF(N16="No", ,VLOOKUP(R16,robot_action_table[#All],2,FALSE))</f>
        <v>0</v>
      </c>
      <c r="AD16" s="40">
        <f>IF(N16="Yes",VLOOKUP("Robot traversal",robot_action_table[#All],2,FALSE),0)</f>
        <v>0</v>
      </c>
      <c r="AE16" s="40">
        <f>IF(N16="No",,VLOOKUP(T16,manipulation_table[#All],5,FALSE))</f>
        <v>0</v>
      </c>
      <c r="AF16" s="41">
        <f>IF(N16="No",,(VLOOKUP(S16,position_table[#All],5,FALSE)*F16))</f>
        <v>0</v>
      </c>
      <c r="AG16" s="41">
        <f>IF(N16="No",,VLOOKUP(E16,Connectors_Table[#All],6,FALSE)*F16)</f>
        <v>0</v>
      </c>
      <c r="AH16" s="41">
        <f>IF(N16="Yes",IF(U16="No removal",0,VLOOKUP("Object removal",robot_action_table[],2,FALSE)),0)</f>
        <v>0</v>
      </c>
      <c r="AI16" s="41">
        <f t="shared" si="1"/>
        <v>0</v>
      </c>
      <c r="AJ16" s="41">
        <f t="shared" si="2"/>
        <v>11.879999999999999</v>
      </c>
      <c r="AK16" s="42">
        <f>IF(OR(AND(AJ15=0,AJ16&lt;&gt;0),AND(AJ16=0,AJ15&lt;&gt;0)),VLOOKUP("Task Changeover time",robot_action_table[#All],2,FALSE),0)</f>
        <v>0</v>
      </c>
      <c r="AL16" s="56"/>
      <c r="AM16" s="56"/>
    </row>
    <row r="17" spans="1:39" ht="26.4" customHeight="1" x14ac:dyDescent="0.3">
      <c r="A17" s="66">
        <v>13</v>
      </c>
      <c r="B17" s="67" t="s">
        <v>288</v>
      </c>
      <c r="C17" s="66" t="s">
        <v>289</v>
      </c>
      <c r="D17" s="66" t="s">
        <v>42</v>
      </c>
      <c r="E17" s="66" t="s">
        <v>42</v>
      </c>
      <c r="F17" s="66">
        <v>0</v>
      </c>
      <c r="G17" s="68" t="s">
        <v>260</v>
      </c>
      <c r="H17" s="68">
        <v>130</v>
      </c>
      <c r="I17" s="68">
        <v>40</v>
      </c>
      <c r="J17" s="68" t="s">
        <v>261</v>
      </c>
      <c r="K17" s="68" t="s">
        <v>261</v>
      </c>
      <c r="L17" s="68" t="s">
        <v>261</v>
      </c>
      <c r="M17" s="68" t="s">
        <v>260</v>
      </c>
      <c r="N17" s="68" t="s">
        <v>260</v>
      </c>
      <c r="O17" s="66" t="s">
        <v>260</v>
      </c>
      <c r="P17" s="66" t="s">
        <v>262</v>
      </c>
      <c r="Q17" s="66" t="s">
        <v>43</v>
      </c>
      <c r="R17" s="66" t="s">
        <v>44</v>
      </c>
      <c r="S17" s="66" t="s">
        <v>36</v>
      </c>
      <c r="T17" s="66" t="s">
        <v>37</v>
      </c>
      <c r="U17" s="66" t="s">
        <v>191</v>
      </c>
      <c r="V17" s="40">
        <f>VLOOKUP(Q17,manual_tool_change_table[#All],4,FALSE)</f>
        <v>0</v>
      </c>
      <c r="W17" s="40">
        <f>IF(O17="No",F17*'Action Time'!$D$37,0)</f>
        <v>0</v>
      </c>
      <c r="X17" s="41">
        <f>VLOOKUP(T17,manipulation_table[#All],4,FALSE)</f>
        <v>0</v>
      </c>
      <c r="Y17" s="41">
        <f>(VLOOKUP(S17,position_table[#All],4,FALSE)*F17)+(IF(S17='Action Time'!$A$3,0.36,0))+(IF(S17='Action Time'!$A$6,0.36,0))+(IF(S17='Action Time'!$A$8,'Action Time'!$D$8,0))+(IF(S17='Action Time'!$A$9,'Action Time'!$D$9,0))</f>
        <v>0</v>
      </c>
      <c r="Z17" s="40">
        <f>VLOOKUP(E17,Connectors_Table[#All],4,FALSE)*F17</f>
        <v>0</v>
      </c>
      <c r="AA17" s="41">
        <f>VLOOKUP(U17,removal_table[#All],4,FALSE)</f>
        <v>6.4799999999999995</v>
      </c>
      <c r="AB17" s="40">
        <f t="shared" si="0"/>
        <v>6.4799999999999995</v>
      </c>
      <c r="AC17" s="40">
        <f>IF(N17="No", ,VLOOKUP(R17,robot_action_table[#All],2,FALSE))</f>
        <v>0</v>
      </c>
      <c r="AD17" s="40">
        <f>IF(N17="Yes",VLOOKUP("Robot traversal",robot_action_table[#All],2,FALSE),0)</f>
        <v>3</v>
      </c>
      <c r="AE17" s="40">
        <f>IF(N17="No",,VLOOKUP(T17,manipulation_table[#All],5,FALSE))</f>
        <v>0</v>
      </c>
      <c r="AF17" s="41">
        <f>IF(N17="No",,(VLOOKUP(S17,position_table[#All],5,FALSE)*F17))</f>
        <v>0</v>
      </c>
      <c r="AG17" s="41">
        <f>IF(N17="No",,VLOOKUP(E17,Connectors_Table[#All],6,FALSE)*F17)</f>
        <v>0</v>
      </c>
      <c r="AH17" s="41">
        <f>IF(N17="Yes",IF(U17="No removal",0,VLOOKUP("Object removal",robot_action_table[],2,FALSE)),0)</f>
        <v>6</v>
      </c>
      <c r="AI17" s="41">
        <f t="shared" si="1"/>
        <v>9</v>
      </c>
      <c r="AJ17" s="41">
        <f t="shared" si="2"/>
        <v>0</v>
      </c>
      <c r="AK17" s="42">
        <f>IF(OR(AND(AJ16=0,AJ17&lt;&gt;0),AND(AJ17=0,AJ16&lt;&gt;0)),VLOOKUP("Task Changeover time",robot_action_table[#All],2,FALSE),0)</f>
        <v>6</v>
      </c>
      <c r="AL17" s="56"/>
      <c r="AM17" s="56"/>
    </row>
    <row r="18" spans="1:39" ht="26.4" customHeight="1" x14ac:dyDescent="0.3">
      <c r="A18" s="66">
        <v>14</v>
      </c>
      <c r="B18" s="67" t="s">
        <v>284</v>
      </c>
      <c r="C18" s="66" t="s">
        <v>290</v>
      </c>
      <c r="D18" s="66" t="s">
        <v>274</v>
      </c>
      <c r="E18" s="66" t="s">
        <v>91</v>
      </c>
      <c r="F18" s="66">
        <v>2</v>
      </c>
      <c r="G18" s="68" t="s">
        <v>260</v>
      </c>
      <c r="H18" s="68" t="s">
        <v>286</v>
      </c>
      <c r="I18" s="68" t="s">
        <v>286</v>
      </c>
      <c r="J18" s="68" t="s">
        <v>261</v>
      </c>
      <c r="K18" s="68" t="s">
        <v>261</v>
      </c>
      <c r="L18" s="68" t="s">
        <v>261</v>
      </c>
      <c r="M18" s="68" t="s">
        <v>262</v>
      </c>
      <c r="N18" s="68" t="s">
        <v>262</v>
      </c>
      <c r="O18" s="66" t="s">
        <v>260</v>
      </c>
      <c r="P18" s="66" t="s">
        <v>262</v>
      </c>
      <c r="Q18" s="66" t="s">
        <v>43</v>
      </c>
      <c r="R18" s="66" t="s">
        <v>44</v>
      </c>
      <c r="S18" s="66" t="s">
        <v>166</v>
      </c>
      <c r="T18" s="66" t="s">
        <v>37</v>
      </c>
      <c r="U18" s="66" t="s">
        <v>38</v>
      </c>
      <c r="V18" s="40">
        <f>VLOOKUP(Q18,manual_tool_change_table[#All],4,FALSE)</f>
        <v>0</v>
      </c>
      <c r="W18" s="40">
        <f>IF(O18="No",F18*'Action Time'!$D$37,0)</f>
        <v>0</v>
      </c>
      <c r="X18" s="41">
        <f>VLOOKUP(T18,manipulation_table[#All],4,FALSE)</f>
        <v>0</v>
      </c>
      <c r="Y18" s="41">
        <f>(VLOOKUP(S18,position_table[#All],4,FALSE)*F18)+(IF(S18='Action Time'!$A$3,0.36,0))+(IF(S18='Action Time'!$A$6,0.36,0))+(IF(S18='Action Time'!$A$8,'Action Time'!$D$8,0))+(IF(S18='Action Time'!$A$9,'Action Time'!$D$9,0))</f>
        <v>4.68</v>
      </c>
      <c r="Z18" s="40">
        <f>VLOOKUP(E18,Connectors_Table[#All],4,FALSE)*F18</f>
        <v>0.72</v>
      </c>
      <c r="AA18" s="41">
        <f>VLOOKUP(U18,removal_table[#All],4,FALSE)</f>
        <v>0</v>
      </c>
      <c r="AB18" s="40">
        <f t="shared" si="0"/>
        <v>5.3999999999999995</v>
      </c>
      <c r="AC18" s="40">
        <f>IF(N18="No", ,VLOOKUP(R18,robot_action_table[#All],2,FALSE))</f>
        <v>0</v>
      </c>
      <c r="AD18" s="40">
        <f>IF(N18="Yes",VLOOKUP("Robot traversal",robot_action_table[#All],2,FALSE),0)</f>
        <v>0</v>
      </c>
      <c r="AE18" s="40">
        <f>IF(N18="No",,VLOOKUP(T18,manipulation_table[#All],5,FALSE))</f>
        <v>0</v>
      </c>
      <c r="AF18" s="41">
        <f>IF(N18="No",,(VLOOKUP(S18,position_table[#All],5,FALSE)*F18))</f>
        <v>0</v>
      </c>
      <c r="AG18" s="41">
        <f>IF(N18="No",,VLOOKUP(E18,Connectors_Table[#All],6,FALSE)*F18)</f>
        <v>0</v>
      </c>
      <c r="AH18" s="41">
        <f>IF(N18="Yes",IF(U18="No removal",0,VLOOKUP("Object removal",robot_action_table[],2,FALSE)),0)</f>
        <v>0</v>
      </c>
      <c r="AI18" s="41">
        <f t="shared" si="1"/>
        <v>0</v>
      </c>
      <c r="AJ18" s="41">
        <f t="shared" si="2"/>
        <v>5.3999999999999995</v>
      </c>
      <c r="AK18" s="42">
        <f>IF(OR(AND(AJ17=0,AJ18&lt;&gt;0),AND(AJ18=0,AJ17&lt;&gt;0)),VLOOKUP("Task Changeover time",robot_action_table[#All],2,FALSE),0)</f>
        <v>6</v>
      </c>
      <c r="AL18" s="56"/>
      <c r="AM18" s="56"/>
    </row>
    <row r="19" spans="1:39" ht="26.4" customHeight="1" x14ac:dyDescent="0.3">
      <c r="A19" s="66">
        <v>15</v>
      </c>
      <c r="B19" s="67" t="s">
        <v>291</v>
      </c>
      <c r="C19" s="66" t="s">
        <v>290</v>
      </c>
      <c r="D19" s="66" t="s">
        <v>271</v>
      </c>
      <c r="E19" s="66" t="s">
        <v>108</v>
      </c>
      <c r="F19" s="66">
        <v>2</v>
      </c>
      <c r="G19" s="68" t="s">
        <v>260</v>
      </c>
      <c r="H19" s="68">
        <v>500</v>
      </c>
      <c r="I19" s="68">
        <v>150</v>
      </c>
      <c r="J19" s="68" t="s">
        <v>261</v>
      </c>
      <c r="K19" s="68">
        <v>0</v>
      </c>
      <c r="L19" s="68">
        <v>14</v>
      </c>
      <c r="M19" s="68" t="s">
        <v>262</v>
      </c>
      <c r="N19" s="68" t="s">
        <v>262</v>
      </c>
      <c r="O19" s="66" t="s">
        <v>260</v>
      </c>
      <c r="P19" s="66" t="s">
        <v>262</v>
      </c>
      <c r="Q19" s="66" t="s">
        <v>43</v>
      </c>
      <c r="R19" s="66" t="s">
        <v>44</v>
      </c>
      <c r="S19" s="66" t="s">
        <v>40</v>
      </c>
      <c r="T19" s="66" t="s">
        <v>41</v>
      </c>
      <c r="U19" s="66" t="s">
        <v>186</v>
      </c>
      <c r="V19" s="40">
        <f>VLOOKUP(Q19,manual_tool_change_table[#All],4,FALSE)</f>
        <v>0</v>
      </c>
      <c r="W19" s="40">
        <f>IF(O19="No",F19*'Action Time'!$D$37,0)</f>
        <v>0</v>
      </c>
      <c r="X19" s="41">
        <f>VLOOKUP(T19,manipulation_table[#All],4,FALSE)</f>
        <v>3.2399999999999998</v>
      </c>
      <c r="Y19" s="41">
        <f>(VLOOKUP(S19,position_table[#All],4,FALSE)*F19)+(IF(S19='Action Time'!$A$3,0.36,0))+(IF(S19='Action Time'!$A$6,0.36,0))+(IF(S19='Action Time'!$A$8,'Action Time'!$D$8,0))+(IF(S19='Action Time'!$A$9,'Action Time'!$D$9,0))</f>
        <v>5.04</v>
      </c>
      <c r="Z19" s="40">
        <f>VLOOKUP(E19,Connectors_Table[#All],4,FALSE)*F19</f>
        <v>1.44</v>
      </c>
      <c r="AA19" s="41">
        <f>VLOOKUP(U19,removal_table[#All],4,FALSE)</f>
        <v>2.1599999999999997</v>
      </c>
      <c r="AB19" s="40">
        <f t="shared" si="0"/>
        <v>11.879999999999999</v>
      </c>
      <c r="AC19" s="40">
        <f>IF(N19="No", ,VLOOKUP(R19,robot_action_table[#All],2,FALSE))</f>
        <v>0</v>
      </c>
      <c r="AD19" s="40">
        <f>IF(N19="Yes",VLOOKUP("Robot traversal",robot_action_table[#All],2,FALSE),0)</f>
        <v>0</v>
      </c>
      <c r="AE19" s="40">
        <f>IF(N19="No",,VLOOKUP(T19,manipulation_table[#All],5,FALSE))</f>
        <v>0</v>
      </c>
      <c r="AF19" s="41">
        <f>IF(N19="No",,(VLOOKUP(S19,position_table[#All],5,FALSE)*F19))</f>
        <v>0</v>
      </c>
      <c r="AG19" s="41">
        <f>IF(N19="No",,VLOOKUP(E19,Connectors_Table[#All],6,FALSE)*F19)</f>
        <v>0</v>
      </c>
      <c r="AH19" s="41">
        <f>IF(N19="Yes",IF(U19="No removal",0,VLOOKUP("Object removal",robot_action_table[],2,FALSE)),0)</f>
        <v>0</v>
      </c>
      <c r="AI19" s="41">
        <f t="shared" si="1"/>
        <v>0</v>
      </c>
      <c r="AJ19" s="41">
        <f t="shared" si="2"/>
        <v>11.879999999999999</v>
      </c>
      <c r="AK19" s="42">
        <f>IF(OR(AND(AJ18=0,AJ19&lt;&gt;0),AND(AJ19=0,AJ18&lt;&gt;0)),VLOOKUP("Task Changeover time",robot_action_table[#All],2,FALSE),0)</f>
        <v>0</v>
      </c>
      <c r="AL19" s="56"/>
      <c r="AM19" s="56"/>
    </row>
    <row r="20" spans="1:39" ht="26.4" customHeight="1" x14ac:dyDescent="0.3">
      <c r="A20" s="66">
        <v>16</v>
      </c>
      <c r="B20" s="67" t="s">
        <v>292</v>
      </c>
      <c r="C20" s="70" t="s">
        <v>293</v>
      </c>
      <c r="D20" s="66" t="s">
        <v>42</v>
      </c>
      <c r="E20" s="66" t="s">
        <v>42</v>
      </c>
      <c r="F20" s="66">
        <v>0</v>
      </c>
      <c r="G20" s="68" t="s">
        <v>260</v>
      </c>
      <c r="H20" s="68">
        <v>130</v>
      </c>
      <c r="I20" s="68">
        <v>40</v>
      </c>
      <c r="J20" s="68" t="s">
        <v>261</v>
      </c>
      <c r="K20" s="68" t="s">
        <v>261</v>
      </c>
      <c r="L20" s="68" t="s">
        <v>261</v>
      </c>
      <c r="M20" s="68" t="s">
        <v>260</v>
      </c>
      <c r="N20" s="68" t="s">
        <v>260</v>
      </c>
      <c r="O20" s="66" t="s">
        <v>260</v>
      </c>
      <c r="P20" s="66" t="s">
        <v>262</v>
      </c>
      <c r="Q20" s="66" t="s">
        <v>43</v>
      </c>
      <c r="R20" s="66" t="s">
        <v>44</v>
      </c>
      <c r="S20" s="66" t="s">
        <v>36</v>
      </c>
      <c r="T20" s="66" t="s">
        <v>37</v>
      </c>
      <c r="U20" s="66" t="s">
        <v>191</v>
      </c>
      <c r="V20" s="40">
        <f>VLOOKUP(Q20,manual_tool_change_table[#All],4,FALSE)</f>
        <v>0</v>
      </c>
      <c r="W20" s="40">
        <f>IF(O20="No",F20*'Action Time'!$D$37,0)</f>
        <v>0</v>
      </c>
      <c r="X20" s="41">
        <f>VLOOKUP(T20,manipulation_table[#All],4,FALSE)</f>
        <v>0</v>
      </c>
      <c r="Y20" s="41">
        <f>(VLOOKUP(S20,position_table[#All],4,FALSE)*F20)+(IF(S20='Action Time'!$A$3,0.36,0))+(IF(S20='Action Time'!$A$6,0.36,0))+(IF(S20='Action Time'!$A$8,'Action Time'!$D$8,0))+(IF(S20='Action Time'!$A$9,'Action Time'!$D$9,0))</f>
        <v>0</v>
      </c>
      <c r="Z20" s="40">
        <f>VLOOKUP(E20,Connectors_Table[#All],4,FALSE)*F20</f>
        <v>0</v>
      </c>
      <c r="AA20" s="41">
        <f>VLOOKUP(U20,removal_table[#All],4,FALSE)</f>
        <v>6.4799999999999995</v>
      </c>
      <c r="AB20" s="40">
        <f t="shared" si="0"/>
        <v>6.4799999999999995</v>
      </c>
      <c r="AC20" s="40">
        <f>IF(N20="No", ,VLOOKUP(R20,robot_action_table[#All],2,FALSE))</f>
        <v>0</v>
      </c>
      <c r="AD20" s="40">
        <f>IF(N20="Yes",VLOOKUP("Robot traversal",robot_action_table[#All],2,FALSE),0)</f>
        <v>3</v>
      </c>
      <c r="AE20" s="40">
        <f>IF(N20="No",,VLOOKUP(T20,manipulation_table[#All],5,FALSE))</f>
        <v>0</v>
      </c>
      <c r="AF20" s="41">
        <f>IF(N20="No",,(VLOOKUP(S20,position_table[#All],5,FALSE)*F20))</f>
        <v>0</v>
      </c>
      <c r="AG20" s="41">
        <f>IF(N20="No",,VLOOKUP(E20,Connectors_Table[#All],6,FALSE)*F20)</f>
        <v>0</v>
      </c>
      <c r="AH20" s="41">
        <f>IF(N20="Yes",IF(U20="No removal",0,VLOOKUP("Object removal",robot_action_table[],2,FALSE)),0)</f>
        <v>6</v>
      </c>
      <c r="AI20" s="41">
        <f t="shared" si="1"/>
        <v>9</v>
      </c>
      <c r="AJ20" s="41">
        <f t="shared" si="2"/>
        <v>0</v>
      </c>
      <c r="AK20" s="42">
        <f>IF(OR(AND(AJ19=0,AJ20&lt;&gt;0),AND(AJ20=0,AJ19&lt;&gt;0)),VLOOKUP("Task Changeover time",robot_action_table[#All],2,FALSE),0)</f>
        <v>6</v>
      </c>
      <c r="AL20" s="56"/>
      <c r="AM20" s="56"/>
    </row>
    <row r="21" spans="1:39" ht="26.4" customHeight="1" x14ac:dyDescent="0.3">
      <c r="A21" s="66">
        <v>17</v>
      </c>
      <c r="B21" s="67" t="s">
        <v>284</v>
      </c>
      <c r="C21" s="66" t="s">
        <v>294</v>
      </c>
      <c r="D21" s="66" t="s">
        <v>271</v>
      </c>
      <c r="E21" s="66" t="s">
        <v>108</v>
      </c>
      <c r="F21" s="66">
        <v>4</v>
      </c>
      <c r="G21" s="68" t="s">
        <v>260</v>
      </c>
      <c r="H21" s="68">
        <v>100</v>
      </c>
      <c r="I21" s="68">
        <v>40</v>
      </c>
      <c r="J21" s="68" t="s">
        <v>261</v>
      </c>
      <c r="K21" s="68">
        <v>0</v>
      </c>
      <c r="L21" s="68">
        <v>14</v>
      </c>
      <c r="M21" s="68" t="s">
        <v>262</v>
      </c>
      <c r="N21" s="68" t="s">
        <v>262</v>
      </c>
      <c r="O21" s="66" t="s">
        <v>260</v>
      </c>
      <c r="P21" s="66" t="s">
        <v>262</v>
      </c>
      <c r="Q21" s="66" t="s">
        <v>43</v>
      </c>
      <c r="R21" s="66" t="s">
        <v>44</v>
      </c>
      <c r="S21" s="66" t="s">
        <v>40</v>
      </c>
      <c r="T21" s="66" t="s">
        <v>41</v>
      </c>
      <c r="U21" s="66" t="s">
        <v>186</v>
      </c>
      <c r="V21" s="40">
        <f>VLOOKUP(Q21,manual_tool_change_table[#All],4,FALSE)</f>
        <v>0</v>
      </c>
      <c r="W21" s="40">
        <f>IF(O21="No",F21*'Action Time'!$D$37,0)</f>
        <v>0</v>
      </c>
      <c r="X21" s="41">
        <f>VLOOKUP(T21,manipulation_table[#All],4,FALSE)</f>
        <v>3.2399999999999998</v>
      </c>
      <c r="Y21" s="41">
        <f>(VLOOKUP(S21,position_table[#All],4,FALSE)*F21)+(IF(S21='Action Time'!$A$3,0.36,0))+(IF(S21='Action Time'!$A$6,0.36,0))+(IF(S21='Action Time'!$A$8,'Action Time'!$D$8,0))+(IF(S21='Action Time'!$A$9,'Action Time'!$D$9,0))</f>
        <v>10.08</v>
      </c>
      <c r="Z21" s="40">
        <f>VLOOKUP(E21,Connectors_Table[#All],4,FALSE)*F21</f>
        <v>2.88</v>
      </c>
      <c r="AA21" s="41">
        <f>VLOOKUP(U21,removal_table[#All],4,FALSE)</f>
        <v>2.1599999999999997</v>
      </c>
      <c r="AB21" s="40">
        <f t="shared" si="0"/>
        <v>18.36</v>
      </c>
      <c r="AC21" s="40">
        <f>IF(N21="No", ,VLOOKUP(R21,robot_action_table[#All],2,FALSE))</f>
        <v>0</v>
      </c>
      <c r="AD21" s="40">
        <f>IF(N21="Yes",VLOOKUP("Robot traversal",robot_action_table[#All],2,FALSE),0)</f>
        <v>0</v>
      </c>
      <c r="AE21" s="40">
        <f>IF(N21="No",,VLOOKUP(T21,manipulation_table[#All],5,FALSE))</f>
        <v>0</v>
      </c>
      <c r="AF21" s="41">
        <f>IF(N21="No",,(VLOOKUP(S21,position_table[#All],5,FALSE)*F21))</f>
        <v>0</v>
      </c>
      <c r="AG21" s="41">
        <f>IF(N21="No",,VLOOKUP(E21,Connectors_Table[#All],6,FALSE)*F21)</f>
        <v>0</v>
      </c>
      <c r="AH21" s="41">
        <f>IF(N21="Yes",IF(U21="No removal",0,VLOOKUP("Object removal",robot_action_table[],2,FALSE)),0)</f>
        <v>0</v>
      </c>
      <c r="AI21" s="41">
        <f t="shared" si="1"/>
        <v>0</v>
      </c>
      <c r="AJ21" s="41">
        <f t="shared" si="2"/>
        <v>18.36</v>
      </c>
      <c r="AK21" s="42">
        <f>IF(OR(AND(AJ20=0,AJ21&lt;&gt;0),AND(AJ21=0,AJ20&lt;&gt;0)),VLOOKUP("Task Changeover time",robot_action_table[#All],2,FALSE),0)</f>
        <v>6</v>
      </c>
      <c r="AL21" s="56"/>
      <c r="AM21" s="56"/>
    </row>
    <row r="22" spans="1:39" ht="26.4" customHeight="1" x14ac:dyDescent="0.3">
      <c r="A22" s="66">
        <v>18</v>
      </c>
      <c r="B22" s="67" t="s">
        <v>284</v>
      </c>
      <c r="C22" s="66" t="s">
        <v>295</v>
      </c>
      <c r="D22" s="66" t="s">
        <v>271</v>
      </c>
      <c r="E22" s="66" t="s">
        <v>108</v>
      </c>
      <c r="F22" s="66">
        <v>2</v>
      </c>
      <c r="G22" s="68" t="s">
        <v>260</v>
      </c>
      <c r="H22" s="68">
        <v>50</v>
      </c>
      <c r="I22" s="68">
        <v>20</v>
      </c>
      <c r="J22" s="68" t="s">
        <v>261</v>
      </c>
      <c r="K22" s="68">
        <v>0</v>
      </c>
      <c r="L22" s="68">
        <v>7</v>
      </c>
      <c r="M22" s="68" t="s">
        <v>262</v>
      </c>
      <c r="N22" s="68" t="s">
        <v>262</v>
      </c>
      <c r="O22" s="66" t="s">
        <v>260</v>
      </c>
      <c r="P22" s="66" t="s">
        <v>262</v>
      </c>
      <c r="Q22" s="66" t="s">
        <v>43</v>
      </c>
      <c r="R22" s="66" t="s">
        <v>44</v>
      </c>
      <c r="S22" s="66" t="s">
        <v>40</v>
      </c>
      <c r="T22" s="66" t="s">
        <v>41</v>
      </c>
      <c r="U22" s="66" t="s">
        <v>186</v>
      </c>
      <c r="V22" s="40">
        <f>VLOOKUP(Q22,manual_tool_change_table[#All],4,FALSE)</f>
        <v>0</v>
      </c>
      <c r="W22" s="40">
        <f>IF(O22="No",F22*'Action Time'!$D$37,0)</f>
        <v>0</v>
      </c>
      <c r="X22" s="41">
        <f>VLOOKUP(T22,manipulation_table[#All],4,FALSE)</f>
        <v>3.2399999999999998</v>
      </c>
      <c r="Y22" s="41">
        <f>(VLOOKUP(S22,position_table[#All],4,FALSE)*F22)+(IF(S22='Action Time'!$A$3,0.36,0))+(IF(S22='Action Time'!$A$6,0.36,0))+(IF(S22='Action Time'!$A$8,'Action Time'!$D$8,0))+(IF(S22='Action Time'!$A$9,'Action Time'!$D$9,0))</f>
        <v>5.04</v>
      </c>
      <c r="Z22" s="40">
        <f>VLOOKUP(E22,Connectors_Table[#All],4,FALSE)*F22</f>
        <v>1.44</v>
      </c>
      <c r="AA22" s="41">
        <f>VLOOKUP(U22,removal_table[#All],4,FALSE)</f>
        <v>2.1599999999999997</v>
      </c>
      <c r="AB22" s="40">
        <f t="shared" si="0"/>
        <v>11.879999999999999</v>
      </c>
      <c r="AC22" s="40">
        <f>IF(N22="No", ,VLOOKUP(R22,robot_action_table[#All],2,FALSE))</f>
        <v>0</v>
      </c>
      <c r="AD22" s="40">
        <f>IF(N22="Yes",VLOOKUP("Robot traversal",robot_action_table[#All],2,FALSE),0)</f>
        <v>0</v>
      </c>
      <c r="AE22" s="40">
        <f>IF(N22="No",,VLOOKUP(T22,manipulation_table[#All],5,FALSE))</f>
        <v>0</v>
      </c>
      <c r="AF22" s="41">
        <f>IF(N22="No",,(VLOOKUP(S22,position_table[#All],5,FALSE)*F22))</f>
        <v>0</v>
      </c>
      <c r="AG22" s="41">
        <f>IF(N22="No",,VLOOKUP(E22,Connectors_Table[#All],6,FALSE)*F22)</f>
        <v>0</v>
      </c>
      <c r="AH22" s="41">
        <f>IF(N22="Yes",IF(U22="No removal",0,VLOOKUP("Object removal",robot_action_table[],2,FALSE)),0)</f>
        <v>0</v>
      </c>
      <c r="AI22" s="41">
        <f t="shared" si="1"/>
        <v>0</v>
      </c>
      <c r="AJ22" s="41">
        <f t="shared" si="2"/>
        <v>11.879999999999999</v>
      </c>
      <c r="AK22" s="42">
        <f>IF(OR(AND(AJ21=0,AJ22&lt;&gt;0),AND(AJ22=0,AJ21&lt;&gt;0)),VLOOKUP("Task Changeover time",robot_action_table[#All],2,FALSE),0)</f>
        <v>0</v>
      </c>
      <c r="AL22" s="56"/>
      <c r="AM22" s="56"/>
    </row>
    <row r="23" spans="1:39" ht="26.4" customHeight="1" x14ac:dyDescent="0.3">
      <c r="A23" s="66">
        <v>19</v>
      </c>
      <c r="B23" s="67" t="s">
        <v>296</v>
      </c>
      <c r="C23" s="66" t="s">
        <v>297</v>
      </c>
      <c r="D23" s="66" t="s">
        <v>268</v>
      </c>
      <c r="E23" s="66" t="s">
        <v>139</v>
      </c>
      <c r="F23" s="66">
        <v>4</v>
      </c>
      <c r="G23" s="68" t="s">
        <v>260</v>
      </c>
      <c r="H23" s="68" t="s">
        <v>286</v>
      </c>
      <c r="I23" s="68" t="s">
        <v>286</v>
      </c>
      <c r="J23" s="68">
        <v>10</v>
      </c>
      <c r="K23" s="68">
        <v>17</v>
      </c>
      <c r="L23" s="68" t="s">
        <v>261</v>
      </c>
      <c r="M23" s="68" t="s">
        <v>260</v>
      </c>
      <c r="N23" s="68" t="s">
        <v>260</v>
      </c>
      <c r="O23" s="66" t="s">
        <v>260</v>
      </c>
      <c r="P23" s="66" t="s">
        <v>260</v>
      </c>
      <c r="Q23" s="66" t="s">
        <v>34</v>
      </c>
      <c r="R23" s="66" t="s">
        <v>35</v>
      </c>
      <c r="S23" s="66" t="s">
        <v>36</v>
      </c>
      <c r="T23" s="66" t="s">
        <v>37</v>
      </c>
      <c r="U23" s="66" t="s">
        <v>38</v>
      </c>
      <c r="V23" s="40">
        <f>VLOOKUP(Q23,manual_tool_change_table[#All],4,FALSE)</f>
        <v>1.44</v>
      </c>
      <c r="W23" s="40">
        <f>IF(O23="No",F23*'Action Time'!$D$37,0)</f>
        <v>0</v>
      </c>
      <c r="X23" s="41">
        <f>VLOOKUP(T23,manipulation_table[#All],4,FALSE)</f>
        <v>0</v>
      </c>
      <c r="Y23" s="41">
        <f>(VLOOKUP(S23,position_table[#All],4,FALSE)*F23)+(IF(S23='Action Time'!$A$3,0.36,0))+(IF(S23='Action Time'!$A$6,0.36,0))+(IF(S23='Action Time'!$A$8,'Action Time'!$D$8,0))+(IF(S23='Action Time'!$A$9,'Action Time'!$D$9,0))</f>
        <v>5.76</v>
      </c>
      <c r="Z23" s="40">
        <f>VLOOKUP(E23,Connectors_Table[#All],4,FALSE)*F23</f>
        <v>46.08</v>
      </c>
      <c r="AA23" s="41">
        <f>VLOOKUP(U23,removal_table[#All],4,FALSE)</f>
        <v>0</v>
      </c>
      <c r="AB23" s="40">
        <f t="shared" si="0"/>
        <v>53.28</v>
      </c>
      <c r="AC23" s="40">
        <f>IF(N23="No", ,VLOOKUP(R23,robot_action_table[#All],2,FALSE))</f>
        <v>7</v>
      </c>
      <c r="AD23" s="40">
        <f>IF(N23="Yes",VLOOKUP("Robot traversal",robot_action_table[#All],2,FALSE),0)</f>
        <v>3</v>
      </c>
      <c r="AE23" s="40">
        <f>IF(N23="No",,VLOOKUP(T23,manipulation_table[#All],5,FALSE))</f>
        <v>0</v>
      </c>
      <c r="AF23" s="41">
        <f>IF(N23="No",,(VLOOKUP(S23,position_table[#All],5,FALSE)*F23))</f>
        <v>16</v>
      </c>
      <c r="AG23" s="41">
        <f>IF(N23="No",,VLOOKUP(E23,Connectors_Table[#All],6,FALSE)*F23)</f>
        <v>36</v>
      </c>
      <c r="AH23" s="41">
        <f>IF(N23="Yes",IF(U23="No removal",0,VLOOKUP("Object removal",robot_action_table[],2,FALSE)),0)</f>
        <v>0</v>
      </c>
      <c r="AI23" s="41">
        <f t="shared" si="1"/>
        <v>62</v>
      </c>
      <c r="AJ23" s="41">
        <f t="shared" si="2"/>
        <v>0</v>
      </c>
      <c r="AK23" s="42">
        <f>IF(OR(AND(AJ22=0,AJ23&lt;&gt;0),AND(AJ23=0,AJ22&lt;&gt;0)),VLOOKUP("Task Changeover time",robot_action_table[#All],2,FALSE),0)</f>
        <v>6</v>
      </c>
      <c r="AL23" s="56"/>
      <c r="AM23" s="56"/>
    </row>
    <row r="24" spans="1:39" ht="26.4" customHeight="1" x14ac:dyDescent="0.3">
      <c r="A24" s="66">
        <v>20</v>
      </c>
      <c r="B24" s="67" t="s">
        <v>298</v>
      </c>
      <c r="C24" s="66" t="s">
        <v>299</v>
      </c>
      <c r="D24" s="66" t="s">
        <v>268</v>
      </c>
      <c r="E24" s="66" t="s">
        <v>132</v>
      </c>
      <c r="F24" s="66">
        <v>2</v>
      </c>
      <c r="G24" s="68" t="s">
        <v>260</v>
      </c>
      <c r="H24" s="68">
        <v>500</v>
      </c>
      <c r="I24" s="68">
        <v>150</v>
      </c>
      <c r="J24" s="68">
        <v>30</v>
      </c>
      <c r="K24" s="68">
        <v>3</v>
      </c>
      <c r="L24" s="68" t="s">
        <v>261</v>
      </c>
      <c r="M24" s="68" t="s">
        <v>260</v>
      </c>
      <c r="N24" s="68" t="s">
        <v>260</v>
      </c>
      <c r="O24" s="66" t="s">
        <v>260</v>
      </c>
      <c r="P24" s="66" t="s">
        <v>260</v>
      </c>
      <c r="Q24" s="66" t="s">
        <v>211</v>
      </c>
      <c r="R24" s="66" t="s">
        <v>35</v>
      </c>
      <c r="S24" s="66" t="s">
        <v>36</v>
      </c>
      <c r="T24" s="66" t="s">
        <v>37</v>
      </c>
      <c r="U24" s="66" t="s">
        <v>46</v>
      </c>
      <c r="V24" s="40">
        <f>VLOOKUP(Q24,manual_tool_change_table[#All],4,FALSE)</f>
        <v>0.72</v>
      </c>
      <c r="W24" s="40">
        <f>IF(O24="No",F24*'Action Time'!$D$37,0)</f>
        <v>0</v>
      </c>
      <c r="X24" s="41">
        <f>VLOOKUP(T24,manipulation_table[#All],4,FALSE)</f>
        <v>0</v>
      </c>
      <c r="Y24" s="41">
        <f>(VLOOKUP(S24,position_table[#All],4,FALSE)*F24)+(IF(S24='Action Time'!$A$3,0.36,0))+(IF(S24='Action Time'!$A$6,0.36,0))+(IF(S24='Action Time'!$A$8,'Action Time'!$D$8,0))+(IF(S24='Action Time'!$A$9,'Action Time'!$D$9,0))</f>
        <v>2.88</v>
      </c>
      <c r="Z24" s="40">
        <f>VLOOKUP(E24,Connectors_Table[#All],4,FALSE)*F24</f>
        <v>11.52</v>
      </c>
      <c r="AA24" s="41">
        <f>VLOOKUP(U24,removal_table[#All],4,FALSE)</f>
        <v>1.44</v>
      </c>
      <c r="AB24" s="40">
        <f t="shared" si="0"/>
        <v>16.559999999999999</v>
      </c>
      <c r="AC24" s="40">
        <f>IF(N24="No", ,VLOOKUP(R24,robot_action_table[#All],2,FALSE))</f>
        <v>7</v>
      </c>
      <c r="AD24" s="40">
        <f>IF(N24="Yes",VLOOKUP("Robot traversal",robot_action_table[#All],2,FALSE),0)</f>
        <v>3</v>
      </c>
      <c r="AE24" s="40">
        <f>IF(N24="No",,VLOOKUP(T24,manipulation_table[#All],5,FALSE))</f>
        <v>0</v>
      </c>
      <c r="AF24" s="41">
        <f>IF(N24="No",,(VLOOKUP(S24,position_table[#All],5,FALSE)*F24))</f>
        <v>8</v>
      </c>
      <c r="AG24" s="41">
        <f>IF(N24="No",,VLOOKUP(E24,Connectors_Table[#All],6,FALSE)*F24)</f>
        <v>9.6</v>
      </c>
      <c r="AH24" s="41">
        <f>IF(N24="Yes",IF(U24="No removal",0,VLOOKUP("Object removal",robot_action_table[],2,FALSE)),0)</f>
        <v>6</v>
      </c>
      <c r="AI24" s="41">
        <f t="shared" si="1"/>
        <v>33.6</v>
      </c>
      <c r="AJ24" s="41">
        <f t="shared" si="2"/>
        <v>0</v>
      </c>
      <c r="AK24" s="42">
        <f>IF(OR(AND(AJ23=0,AJ24&lt;&gt;0),AND(AJ24=0,AJ23&lt;&gt;0)),VLOOKUP("Task Changeover time",robot_action_table[#All],2,FALSE),0)</f>
        <v>0</v>
      </c>
      <c r="AL24" s="56"/>
      <c r="AM24" s="56"/>
    </row>
    <row r="25" spans="1:39" ht="26.4" customHeight="1" x14ac:dyDescent="0.3">
      <c r="A25" s="66">
        <v>21</v>
      </c>
      <c r="B25" s="67" t="s">
        <v>300</v>
      </c>
      <c r="C25" s="70" t="s">
        <v>301</v>
      </c>
      <c r="D25" s="66" t="s">
        <v>302</v>
      </c>
      <c r="E25" s="66" t="s">
        <v>63</v>
      </c>
      <c r="F25" s="66">
        <v>2</v>
      </c>
      <c r="G25" s="68" t="s">
        <v>260</v>
      </c>
      <c r="H25" s="68">
        <v>25</v>
      </c>
      <c r="I25" s="68">
        <v>40</v>
      </c>
      <c r="J25" s="68">
        <v>10</v>
      </c>
      <c r="K25" s="68">
        <v>5</v>
      </c>
      <c r="L25" s="68" t="s">
        <v>261</v>
      </c>
      <c r="M25" s="68" t="s">
        <v>260</v>
      </c>
      <c r="N25" s="68" t="s">
        <v>260</v>
      </c>
      <c r="O25" s="66" t="s">
        <v>260</v>
      </c>
      <c r="P25" s="66" t="s">
        <v>260</v>
      </c>
      <c r="Q25" s="66" t="s">
        <v>34</v>
      </c>
      <c r="R25" s="66" t="s">
        <v>237</v>
      </c>
      <c r="S25" s="66" t="s">
        <v>160</v>
      </c>
      <c r="T25" s="66" t="s">
        <v>37</v>
      </c>
      <c r="U25" s="66" t="s">
        <v>46</v>
      </c>
      <c r="V25" s="40">
        <f>VLOOKUP(Q25,manual_tool_change_table[#All],4,FALSE)</f>
        <v>1.44</v>
      </c>
      <c r="W25" s="40">
        <f>IF(O25="No",F25*'Action Time'!$D$37,0)</f>
        <v>0</v>
      </c>
      <c r="X25" s="41">
        <f>VLOOKUP(T25,manipulation_table[#All],4,FALSE)</f>
        <v>0</v>
      </c>
      <c r="Y25" s="41">
        <f>(VLOOKUP(S25,position_table[#All],4,FALSE)*F25)+(IF(S25='Action Time'!$A$3,0.36,0))+(IF(S25='Action Time'!$A$6,0.36,0))+(IF(S25='Action Time'!$A$8,'Action Time'!$D$8,0))+(IF(S25='Action Time'!$A$9,'Action Time'!$D$9,0))</f>
        <v>2.5199999999999996</v>
      </c>
      <c r="Z25" s="40">
        <f>VLOOKUP(E25,Connectors_Table[#All],4,FALSE)*F25</f>
        <v>7.1999999999999993</v>
      </c>
      <c r="AA25" s="41">
        <f>VLOOKUP(U25,removal_table[#All],4,FALSE)</f>
        <v>1.44</v>
      </c>
      <c r="AB25" s="40">
        <f t="shared" si="0"/>
        <v>12.599999999999998</v>
      </c>
      <c r="AC25" s="40">
        <f>IF(N25="No", ,VLOOKUP(R25,robot_action_table[#All],2,FALSE))</f>
        <v>14</v>
      </c>
      <c r="AD25" s="40">
        <f>IF(N25="Yes",VLOOKUP("Robot traversal",robot_action_table[#All],2,FALSE),0)</f>
        <v>3</v>
      </c>
      <c r="AE25" s="40">
        <f>IF(N25="No",,VLOOKUP(T25,manipulation_table[#All],5,FALSE))</f>
        <v>0</v>
      </c>
      <c r="AF25" s="41">
        <f>IF(N25="No",,(VLOOKUP(S25,position_table[#All],5,FALSE)*F25))</f>
        <v>5</v>
      </c>
      <c r="AG25" s="41">
        <f>IF(N25="No",,VLOOKUP(E25,Connectors_Table[#All],6,FALSE)*F25)</f>
        <v>9.6</v>
      </c>
      <c r="AH25" s="41">
        <f>IF(N25="Yes",IF(U25="No removal",0,VLOOKUP("Object removal",robot_action_table[],2,FALSE)),0)</f>
        <v>6</v>
      </c>
      <c r="AI25" s="41">
        <f t="shared" si="1"/>
        <v>37.6</v>
      </c>
      <c r="AJ25" s="41">
        <f t="shared" si="2"/>
        <v>0</v>
      </c>
      <c r="AK25" s="42">
        <f>IF(OR(AND(AJ24=0,AJ25&lt;&gt;0),AND(AJ25=0,AJ24&lt;&gt;0)),VLOOKUP("Task Changeover time",robot_action_table[#All],2,FALSE),0)</f>
        <v>0</v>
      </c>
      <c r="AL25" s="56"/>
      <c r="AM25" s="56"/>
    </row>
    <row r="26" spans="1:39" ht="26.4" customHeight="1" x14ac:dyDescent="0.3">
      <c r="A26" s="66">
        <v>22</v>
      </c>
      <c r="B26" s="67" t="s">
        <v>284</v>
      </c>
      <c r="C26" s="70" t="s">
        <v>303</v>
      </c>
      <c r="D26" s="66" t="s">
        <v>274</v>
      </c>
      <c r="E26" s="66" t="s">
        <v>91</v>
      </c>
      <c r="F26" s="66">
        <v>2</v>
      </c>
      <c r="G26" s="68" t="s">
        <v>260</v>
      </c>
      <c r="H26" s="68" t="s">
        <v>286</v>
      </c>
      <c r="I26" s="68" t="s">
        <v>286</v>
      </c>
      <c r="J26" s="68" t="s">
        <v>261</v>
      </c>
      <c r="K26" s="68">
        <v>30</v>
      </c>
      <c r="L26" s="68">
        <v>50</v>
      </c>
      <c r="M26" s="68" t="s">
        <v>260</v>
      </c>
      <c r="N26" s="68" t="s">
        <v>260</v>
      </c>
      <c r="O26" s="66" t="s">
        <v>260</v>
      </c>
      <c r="P26" s="66" t="s">
        <v>262</v>
      </c>
      <c r="Q26" s="66" t="s">
        <v>43</v>
      </c>
      <c r="R26" s="66" t="s">
        <v>44</v>
      </c>
      <c r="S26" s="66" t="s">
        <v>160</v>
      </c>
      <c r="T26" s="66" t="s">
        <v>37</v>
      </c>
      <c r="U26" s="66" t="s">
        <v>38</v>
      </c>
      <c r="V26" s="40">
        <f>VLOOKUP(Q26,manual_tool_change_table[#All],4,FALSE)</f>
        <v>0</v>
      </c>
      <c r="W26" s="40">
        <f>IF(O26="No",F26*'Action Time'!$D$37,0)</f>
        <v>0</v>
      </c>
      <c r="X26" s="41">
        <f>VLOOKUP(T26,manipulation_table[#All],4,FALSE)</f>
        <v>0</v>
      </c>
      <c r="Y26" s="41">
        <f>(VLOOKUP(S26,position_table[#All],4,FALSE)*F26)+(IF(S26='Action Time'!$A$3,0.36,0))+(IF(S26='Action Time'!$A$6,0.36,0))+(IF(S26='Action Time'!$A$8,'Action Time'!$D$8,0))+(IF(S26='Action Time'!$A$9,'Action Time'!$D$9,0))</f>
        <v>2.5199999999999996</v>
      </c>
      <c r="Z26" s="40">
        <f>VLOOKUP(E26,Connectors_Table[#All],4,FALSE)*F26</f>
        <v>0.72</v>
      </c>
      <c r="AA26" s="41">
        <f>VLOOKUP(U26,removal_table[#All],4,FALSE)</f>
        <v>0</v>
      </c>
      <c r="AB26" s="40">
        <f t="shared" si="0"/>
        <v>3.2399999999999993</v>
      </c>
      <c r="AC26" s="40">
        <f>IF(N26="No", ,VLOOKUP(R26,robot_action_table[#All],2,FALSE))</f>
        <v>0</v>
      </c>
      <c r="AD26" s="40">
        <f>IF(N26="Yes",VLOOKUP("Robot traversal",robot_action_table[#All],2,FALSE),0)</f>
        <v>3</v>
      </c>
      <c r="AE26" s="40">
        <f>IF(N26="No",,VLOOKUP(T26,manipulation_table[#All],5,FALSE))</f>
        <v>0</v>
      </c>
      <c r="AF26" s="41">
        <f>IF(N26="No",,(VLOOKUP(S26,position_table[#All],5,FALSE)*F26))</f>
        <v>5</v>
      </c>
      <c r="AG26" s="41">
        <f>IF(N26="No",,VLOOKUP(E26,Connectors_Table[#All],6,FALSE)*F26)</f>
        <v>6</v>
      </c>
      <c r="AH26" s="41">
        <f>IF(N26="Yes",IF(U26="No removal",0,VLOOKUP("Object removal",robot_action_table[],2,FALSE)),0)</f>
        <v>0</v>
      </c>
      <c r="AI26" s="41">
        <f t="shared" si="1"/>
        <v>14</v>
      </c>
      <c r="AJ26" s="41">
        <f t="shared" si="2"/>
        <v>0</v>
      </c>
      <c r="AK26" s="42">
        <f>IF(OR(AND(AJ25=0,AJ26&lt;&gt;0),AND(AJ26=0,AJ25&lt;&gt;0)),VLOOKUP("Task Changeover time",robot_action_table[#All],2,FALSE),0)</f>
        <v>0</v>
      </c>
      <c r="AL26" s="56"/>
      <c r="AM26" s="56"/>
    </row>
    <row r="27" spans="1:39" ht="26.4" customHeight="1" x14ac:dyDescent="0.3">
      <c r="A27" s="66">
        <v>23</v>
      </c>
      <c r="B27" s="67" t="s">
        <v>304</v>
      </c>
      <c r="C27" s="70" t="s">
        <v>305</v>
      </c>
      <c r="D27" s="66" t="s">
        <v>268</v>
      </c>
      <c r="E27" s="66" t="s">
        <v>131</v>
      </c>
      <c r="F27" s="66">
        <v>10</v>
      </c>
      <c r="G27" s="68" t="s">
        <v>260</v>
      </c>
      <c r="H27" s="68">
        <v>800</v>
      </c>
      <c r="I27" s="68">
        <v>130</v>
      </c>
      <c r="J27" s="68">
        <v>5</v>
      </c>
      <c r="K27" s="68">
        <v>5</v>
      </c>
      <c r="L27" s="68" t="s">
        <v>261</v>
      </c>
      <c r="M27" s="68" t="s">
        <v>260</v>
      </c>
      <c r="N27" s="68" t="s">
        <v>260</v>
      </c>
      <c r="O27" s="66" t="s">
        <v>260</v>
      </c>
      <c r="P27" s="66" t="s">
        <v>260</v>
      </c>
      <c r="Q27" s="66" t="s">
        <v>211</v>
      </c>
      <c r="R27" s="66" t="s">
        <v>35</v>
      </c>
      <c r="S27" s="66" t="s">
        <v>160</v>
      </c>
      <c r="T27" s="66" t="s">
        <v>37</v>
      </c>
      <c r="U27" s="66" t="s">
        <v>46</v>
      </c>
      <c r="V27" s="40">
        <f>VLOOKUP(Q27,manual_tool_change_table[#All],4,FALSE)</f>
        <v>0.72</v>
      </c>
      <c r="W27" s="40">
        <f>IF(O27="No",F27*'Action Time'!$D$37,0)</f>
        <v>0</v>
      </c>
      <c r="X27" s="41">
        <f>VLOOKUP(T27,manipulation_table[#All],4,FALSE)</f>
        <v>0</v>
      </c>
      <c r="Y27" s="41">
        <f>(VLOOKUP(S27,position_table[#All],4,FALSE)*F27)+(IF(S27='Action Time'!$A$3,0.36,0))+(IF(S27='Action Time'!$A$6,0.36,0))+(IF(S27='Action Time'!$A$8,'Action Time'!$D$8,0))+(IF(S27='Action Time'!$A$9,'Action Time'!$D$9,0))</f>
        <v>11.159999999999998</v>
      </c>
      <c r="Z27" s="40">
        <f>VLOOKUP(E27,Connectors_Table[#All],4,FALSE)*F27</f>
        <v>57.599999999999994</v>
      </c>
      <c r="AA27" s="41">
        <f>VLOOKUP(U27,removal_table[#All],4,FALSE)</f>
        <v>1.44</v>
      </c>
      <c r="AB27" s="40">
        <f t="shared" si="0"/>
        <v>70.919999999999987</v>
      </c>
      <c r="AC27" s="40">
        <f>IF(N27="No", ,VLOOKUP(R27,robot_action_table[#All],2,FALSE))</f>
        <v>7</v>
      </c>
      <c r="AD27" s="40">
        <f>IF(N27="Yes",VLOOKUP("Robot traversal",robot_action_table[#All],2,FALSE),0)</f>
        <v>3</v>
      </c>
      <c r="AE27" s="40">
        <f>IF(N27="No",,VLOOKUP(T27,manipulation_table[#All],5,FALSE))</f>
        <v>0</v>
      </c>
      <c r="AF27" s="41">
        <f>IF(N27="No",,(VLOOKUP(S27,position_table[#All],5,FALSE)*F27))</f>
        <v>25</v>
      </c>
      <c r="AG27" s="41">
        <f>IF(N27="No",,VLOOKUP(E27,Connectors_Table[#All],6,FALSE)*F27)</f>
        <v>42</v>
      </c>
      <c r="AH27" s="41">
        <f>IF(N27="Yes",IF(U27="No removal",0,VLOOKUP("Object removal",robot_action_table[],2,FALSE)),0)</f>
        <v>6</v>
      </c>
      <c r="AI27" s="41">
        <f t="shared" si="1"/>
        <v>83</v>
      </c>
      <c r="AJ27" s="41">
        <f t="shared" si="2"/>
        <v>0</v>
      </c>
      <c r="AK27" s="42">
        <f>IF(OR(AND(AJ26=0,AJ27&lt;&gt;0),AND(AJ27=0,AJ26&lt;&gt;0)),VLOOKUP("Task Changeover time",robot_action_table[#All],2,FALSE),0)</f>
        <v>0</v>
      </c>
      <c r="AL27" s="56"/>
      <c r="AM27" s="56"/>
    </row>
    <row r="28" spans="1:39" ht="26.4" customHeight="1" x14ac:dyDescent="0.3">
      <c r="A28" s="66">
        <v>24</v>
      </c>
      <c r="B28" s="67" t="s">
        <v>306</v>
      </c>
      <c r="C28" s="66" t="s">
        <v>307</v>
      </c>
      <c r="D28" s="66" t="s">
        <v>271</v>
      </c>
      <c r="E28" s="66" t="s">
        <v>108</v>
      </c>
      <c r="F28" s="66">
        <v>2</v>
      </c>
      <c r="G28" s="68" t="s">
        <v>260</v>
      </c>
      <c r="H28" s="68">
        <v>12</v>
      </c>
      <c r="I28" s="68">
        <v>40</v>
      </c>
      <c r="J28" s="68">
        <v>0</v>
      </c>
      <c r="K28" s="68">
        <v>0</v>
      </c>
      <c r="L28" s="68" t="s">
        <v>261</v>
      </c>
      <c r="M28" s="68" t="s">
        <v>262</v>
      </c>
      <c r="N28" s="68" t="s">
        <v>262</v>
      </c>
      <c r="O28" s="66" t="s">
        <v>260</v>
      </c>
      <c r="P28" s="66" t="s">
        <v>262</v>
      </c>
      <c r="Q28" s="66" t="s">
        <v>43</v>
      </c>
      <c r="R28" s="66" t="s">
        <v>44</v>
      </c>
      <c r="S28" s="66" t="s">
        <v>40</v>
      </c>
      <c r="T28" s="66" t="s">
        <v>173</v>
      </c>
      <c r="U28" s="66" t="s">
        <v>186</v>
      </c>
      <c r="V28" s="40">
        <f>VLOOKUP(Q28,manual_tool_change_table[#All],4,FALSE)</f>
        <v>0</v>
      </c>
      <c r="W28" s="40">
        <f>IF(O28="No",F28*'Action Time'!$D$37,0)</f>
        <v>0</v>
      </c>
      <c r="X28" s="41">
        <f>VLOOKUP(T28,manipulation_table[#All],4,FALSE)</f>
        <v>3.5999999999999996</v>
      </c>
      <c r="Y28" s="41">
        <f>(VLOOKUP(S28,position_table[#All],4,FALSE)*F28)+(IF(S28='Action Time'!$A$3,0.36,0))+(IF(S28='Action Time'!$A$6,0.36,0))+(IF(S28='Action Time'!$A$8,'Action Time'!$D$8,0))+(IF(S28='Action Time'!$A$9,'Action Time'!$D$9,0))</f>
        <v>5.04</v>
      </c>
      <c r="Z28" s="40">
        <f>VLOOKUP(E28,Connectors_Table[#All],4,FALSE)*F28</f>
        <v>1.44</v>
      </c>
      <c r="AA28" s="41">
        <f>VLOOKUP(U28,removal_table[#All],4,FALSE)</f>
        <v>2.1599999999999997</v>
      </c>
      <c r="AB28" s="40">
        <f t="shared" si="0"/>
        <v>12.24</v>
      </c>
      <c r="AC28" s="40">
        <f>IF(N28="No", ,VLOOKUP(R28,robot_action_table[#All],2,FALSE))</f>
        <v>0</v>
      </c>
      <c r="AD28" s="40">
        <f>IF(N28="Yes",VLOOKUP("Robot traversal",robot_action_table[#All],2,FALSE),0)</f>
        <v>0</v>
      </c>
      <c r="AE28" s="40">
        <f>IF(N28="No",,VLOOKUP(T28,manipulation_table[#All],5,FALSE))</f>
        <v>0</v>
      </c>
      <c r="AF28" s="41">
        <f>IF(N28="No",,(VLOOKUP(S28,position_table[#All],5,FALSE)*F28))</f>
        <v>0</v>
      </c>
      <c r="AG28" s="41">
        <f>IF(N28="No",,VLOOKUP(E28,Connectors_Table[#All],6,FALSE)*F28)</f>
        <v>0</v>
      </c>
      <c r="AH28" s="41">
        <f>IF(N28="Yes",IF(U28="No removal",0,VLOOKUP("Object removal",robot_action_table[],2,FALSE)),0)</f>
        <v>0</v>
      </c>
      <c r="AI28" s="41">
        <f t="shared" si="1"/>
        <v>0</v>
      </c>
      <c r="AJ28" s="41">
        <f t="shared" si="2"/>
        <v>12.24</v>
      </c>
      <c r="AK28" s="42">
        <f>IF(OR(AND(AJ27=0,AJ28&lt;&gt;0),AND(AJ28=0,AJ27&lt;&gt;0)),VLOOKUP("Task Changeover time",robot_action_table[#All],2,FALSE),0)</f>
        <v>6</v>
      </c>
      <c r="AL28" s="56"/>
      <c r="AM28" s="56"/>
    </row>
    <row r="29" spans="1:39" ht="33.65" customHeight="1" x14ac:dyDescent="0.3">
      <c r="A29" s="102" t="s">
        <v>47</v>
      </c>
      <c r="B29" s="102"/>
      <c r="C29" s="102"/>
      <c r="D29" s="102"/>
      <c r="E29" s="102"/>
      <c r="F29" s="102"/>
      <c r="G29" s="102"/>
      <c r="H29" s="102"/>
      <c r="I29" s="102"/>
      <c r="J29" s="102"/>
      <c r="K29" s="102"/>
      <c r="L29" s="102"/>
      <c r="M29" s="102"/>
      <c r="N29" s="102"/>
      <c r="O29" s="102"/>
      <c r="P29" s="102"/>
      <c r="Q29" s="102"/>
      <c r="R29" s="102"/>
      <c r="S29" s="102"/>
      <c r="T29" s="102"/>
      <c r="U29" s="102"/>
      <c r="V29" s="43">
        <f t="shared" ref="V29:AD29" si="3">SUM(V5:V28)</f>
        <v>7.919999999999999</v>
      </c>
      <c r="W29" s="43">
        <f t="shared" si="3"/>
        <v>0</v>
      </c>
      <c r="X29" s="43">
        <f t="shared" si="3"/>
        <v>20.159999999999997</v>
      </c>
      <c r="Y29" s="43">
        <f t="shared" si="3"/>
        <v>108.72</v>
      </c>
      <c r="Z29" s="43">
        <f t="shared" si="3"/>
        <v>172.07999999999998</v>
      </c>
      <c r="AA29" s="43">
        <f t="shared" si="3"/>
        <v>41.759999999999984</v>
      </c>
      <c r="AB29" s="44">
        <f t="shared" si="3"/>
        <v>350.64</v>
      </c>
      <c r="AC29" s="43">
        <f t="shared" si="3"/>
        <v>84</v>
      </c>
      <c r="AD29" s="43">
        <f t="shared" si="3"/>
        <v>36</v>
      </c>
      <c r="AE29" s="43">
        <f t="shared" ref="AE29:AK29" si="4">SUM(AE5:AE28)</f>
        <v>0</v>
      </c>
      <c r="AF29" s="43">
        <f t="shared" si="4"/>
        <v>120</v>
      </c>
      <c r="AG29" s="43">
        <f t="shared" si="4"/>
        <v>121.2</v>
      </c>
      <c r="AH29" s="43">
        <f t="shared" si="4"/>
        <v>54</v>
      </c>
      <c r="AI29" s="44">
        <f t="shared" si="4"/>
        <v>415.20000000000005</v>
      </c>
      <c r="AJ29" s="44">
        <f t="shared" si="4"/>
        <v>110.15999999999998</v>
      </c>
      <c r="AK29" s="44">
        <f t="shared" si="4"/>
        <v>54</v>
      </c>
      <c r="AL29" s="56"/>
      <c r="AM29" s="56"/>
    </row>
    <row r="30" spans="1:39" ht="13.75" customHeight="1" x14ac:dyDescent="0.3">
      <c r="A30" s="45"/>
      <c r="B30" s="46"/>
      <c r="C30" s="47"/>
      <c r="D30" s="47"/>
      <c r="E30" s="48"/>
      <c r="F30" s="48"/>
      <c r="G30" s="48"/>
      <c r="H30" s="48"/>
      <c r="I30" s="48"/>
      <c r="J30" s="48"/>
      <c r="K30" s="48"/>
      <c r="L30" s="48"/>
      <c r="M30" s="48"/>
      <c r="N30" s="48"/>
      <c r="O30" s="48"/>
      <c r="P30" s="48"/>
      <c r="Q30" s="48"/>
      <c r="R30" s="48"/>
      <c r="S30" s="48"/>
      <c r="T30" s="48"/>
      <c r="U30" s="48"/>
      <c r="V30" s="48"/>
      <c r="W30" s="48"/>
      <c r="X30" s="48"/>
      <c r="Y30" s="49"/>
      <c r="Z30" s="48"/>
      <c r="AA30" s="48"/>
      <c r="AB30" s="48"/>
      <c r="AC30" s="103" t="s">
        <v>48</v>
      </c>
      <c r="AD30" s="103"/>
      <c r="AE30" s="103"/>
      <c r="AF30" s="103"/>
      <c r="AG30" s="103"/>
      <c r="AH30" s="103"/>
      <c r="AI30" s="104">
        <f>((AI29+AK29)/(VLOOKUP("Cost factor - n (#)",robot_parameter_table[#All],2,FALSE)))+AJ29</f>
        <v>344.76</v>
      </c>
      <c r="AJ30" s="104"/>
      <c r="AK30" s="104"/>
      <c r="AL30" s="118"/>
      <c r="AM30" s="118"/>
    </row>
    <row r="31" spans="1:39" x14ac:dyDescent="0.3">
      <c r="A31" s="45"/>
      <c r="B31" s="46"/>
      <c r="C31" s="47"/>
      <c r="D31" s="47"/>
      <c r="E31" s="48"/>
      <c r="F31" s="48"/>
      <c r="G31" s="48"/>
      <c r="H31" s="48"/>
      <c r="I31" s="48"/>
      <c r="J31" s="48"/>
      <c r="K31" s="48"/>
      <c r="L31" s="48"/>
      <c r="M31" s="48"/>
      <c r="N31" s="48"/>
      <c r="O31" s="48"/>
      <c r="P31" s="48"/>
      <c r="Q31" s="48"/>
      <c r="R31" s="48"/>
      <c r="S31" s="48"/>
      <c r="T31" s="48"/>
      <c r="U31" s="48"/>
      <c r="V31" s="48"/>
      <c r="W31" s="48"/>
      <c r="X31" s="48"/>
      <c r="Y31" s="48"/>
      <c r="Z31" s="48"/>
      <c r="AA31" s="48"/>
      <c r="AB31" s="48"/>
      <c r="AC31" s="103"/>
      <c r="AD31" s="103"/>
      <c r="AE31" s="103"/>
      <c r="AF31" s="103"/>
      <c r="AG31" s="103"/>
      <c r="AH31" s="103"/>
      <c r="AI31" s="104"/>
      <c r="AJ31" s="104"/>
      <c r="AK31" s="104"/>
      <c r="AL31" s="118"/>
      <c r="AM31" s="118"/>
    </row>
    <row r="32" spans="1:39" x14ac:dyDescent="0.3">
      <c r="A32" s="45"/>
      <c r="B32" s="46"/>
      <c r="C32" s="47"/>
      <c r="D32" s="47"/>
      <c r="E32" s="48"/>
      <c r="F32" s="48"/>
      <c r="G32" s="48"/>
      <c r="H32" s="48"/>
      <c r="I32" s="48"/>
      <c r="J32" s="48"/>
      <c r="K32" s="48"/>
      <c r="L32" s="48"/>
      <c r="M32" s="48"/>
      <c r="N32" s="48"/>
      <c r="O32" s="48"/>
      <c r="P32" s="48"/>
      <c r="Q32" s="48"/>
      <c r="R32" s="48"/>
      <c r="S32" s="48"/>
      <c r="T32" s="48"/>
      <c r="U32" s="48"/>
      <c r="V32" s="48"/>
      <c r="W32" s="48"/>
      <c r="X32" s="48"/>
      <c r="Y32" s="49"/>
      <c r="Z32" s="48"/>
      <c r="AA32" s="48"/>
      <c r="AB32" s="48"/>
      <c r="AC32" s="103" t="s">
        <v>253</v>
      </c>
      <c r="AD32" s="103"/>
      <c r="AE32" s="103"/>
      <c r="AF32" s="103"/>
      <c r="AG32" s="103"/>
      <c r="AH32" s="103"/>
      <c r="AI32" s="104">
        <f>MIN(AB29,AI30)</f>
        <v>344.76</v>
      </c>
      <c r="AJ32" s="104"/>
      <c r="AK32" s="104"/>
      <c r="AL32" s="118"/>
      <c r="AM32" s="118"/>
    </row>
    <row r="33" spans="1:39" x14ac:dyDescent="0.3">
      <c r="A33" s="45"/>
      <c r="B33" s="46"/>
      <c r="C33" s="47"/>
      <c r="D33" s="47"/>
      <c r="E33" s="48"/>
      <c r="F33" s="48"/>
      <c r="G33" s="48"/>
      <c r="H33" s="48"/>
      <c r="I33" s="48"/>
      <c r="J33" s="48"/>
      <c r="K33" s="48"/>
      <c r="L33" s="48"/>
      <c r="M33" s="48"/>
      <c r="N33" s="48"/>
      <c r="O33" s="48"/>
      <c r="P33" s="48"/>
      <c r="Q33" s="48"/>
      <c r="R33" s="48"/>
      <c r="S33" s="48"/>
      <c r="T33" s="48"/>
      <c r="U33" s="48"/>
      <c r="V33" s="48"/>
      <c r="W33" s="48"/>
      <c r="X33" s="48"/>
      <c r="Y33" s="49"/>
      <c r="Z33" s="48"/>
      <c r="AA33" s="48"/>
      <c r="AB33" s="48"/>
      <c r="AC33" s="103"/>
      <c r="AD33" s="103"/>
      <c r="AE33" s="103"/>
      <c r="AF33" s="103"/>
      <c r="AG33" s="103"/>
      <c r="AH33" s="103"/>
      <c r="AI33" s="104"/>
      <c r="AJ33" s="104"/>
      <c r="AK33" s="104"/>
      <c r="AL33" s="118"/>
      <c r="AM33" s="118"/>
    </row>
    <row r="37" spans="1:39" x14ac:dyDescent="0.3">
      <c r="AD37" s="10"/>
    </row>
  </sheetData>
  <dataConsolidate/>
  <mergeCells count="51">
    <mergeCell ref="O2:U2"/>
    <mergeCell ref="V2:AB2"/>
    <mergeCell ref="AC2:AI2"/>
    <mergeCell ref="AJ2:AK2"/>
    <mergeCell ref="A1:D1"/>
    <mergeCell ref="E1:G1"/>
    <mergeCell ref="H1:AK1"/>
    <mergeCell ref="G3:G4"/>
    <mergeCell ref="H3:H4"/>
    <mergeCell ref="I3:I4"/>
    <mergeCell ref="A2:F2"/>
    <mergeCell ref="G2:N2"/>
    <mergeCell ref="A3:A4"/>
    <mergeCell ref="B3:B4"/>
    <mergeCell ref="C3:C4"/>
    <mergeCell ref="D3:D4"/>
    <mergeCell ref="E3:E4"/>
    <mergeCell ref="M3:M4"/>
    <mergeCell ref="N3:N4"/>
    <mergeCell ref="P3:P4"/>
    <mergeCell ref="Q3:R3"/>
    <mergeCell ref="AC32:AH33"/>
    <mergeCell ref="AI32:AK33"/>
    <mergeCell ref="AC3:AC4"/>
    <mergeCell ref="AD3:AD4"/>
    <mergeCell ref="A29:U29"/>
    <mergeCell ref="Y3:Y4"/>
    <mergeCell ref="Z3:Z4"/>
    <mergeCell ref="AA3:AA4"/>
    <mergeCell ref="AB3:AB4"/>
    <mergeCell ref="S3:S4"/>
    <mergeCell ref="T3:T4"/>
    <mergeCell ref="U3:U4"/>
    <mergeCell ref="V3:V4"/>
    <mergeCell ref="F3:F4"/>
    <mergeCell ref="W3:W4"/>
    <mergeCell ref="X3:X4"/>
    <mergeCell ref="J3:L3"/>
    <mergeCell ref="AL32:AM33"/>
    <mergeCell ref="AE3:AE4"/>
    <mergeCell ref="AF3:AF4"/>
    <mergeCell ref="AG3:AG4"/>
    <mergeCell ref="AH3:AH4"/>
    <mergeCell ref="AI3:AI4"/>
    <mergeCell ref="AJ3:AJ4"/>
    <mergeCell ref="AL2:AM4"/>
    <mergeCell ref="AK3:AK4"/>
    <mergeCell ref="AC30:AH31"/>
    <mergeCell ref="AI30:AK31"/>
    <mergeCell ref="AL30:AM31"/>
    <mergeCell ref="O3:O4"/>
  </mergeCells>
  <conditionalFormatting sqref="G5:G28">
    <cfRule type="containsText" dxfId="13" priority="7" operator="containsText" text="No">
      <formula>NOT(ISERROR(SEARCH("No",G5)))</formula>
    </cfRule>
  </conditionalFormatting>
  <conditionalFormatting sqref="J5:L28">
    <cfRule type="cellIs" dxfId="10" priority="6" operator="equal">
      <formula>0</formula>
    </cfRule>
  </conditionalFormatting>
  <conditionalFormatting sqref="M5:N28">
    <cfRule type="containsText" dxfId="9" priority="3" operator="containsText" text="No">
      <formula>NOT(ISERROR(SEARCH("No",M5)))</formula>
    </cfRule>
  </conditionalFormatting>
  <conditionalFormatting sqref="AB5:AB28">
    <cfRule type="top10" dxfId="8" priority="2" rank="3"/>
  </conditionalFormatting>
  <conditionalFormatting sqref="AI5:AI28">
    <cfRule type="top10" dxfId="7" priority="1" rank="3"/>
  </conditionalFormatting>
  <dataValidations count="10">
    <dataValidation type="list" allowBlank="1" showInputMessage="1" showErrorMessage="1" sqref="S10:S28 S5:S8" xr:uid="{1FA47661-10E6-4DBC-9604-25EF41D54C4A}">
      <formula1>positioning_type</formula1>
    </dataValidation>
    <dataValidation type="list" allowBlank="1" showInputMessage="1" showErrorMessage="1" sqref="R7:R28" xr:uid="{4148A15A-378F-4F39-9FC2-E885917F77E7}">
      <formula1>"No Tool Change, Tool Change, Two Tool Changes"</formula1>
    </dataValidation>
    <dataValidation type="list" allowBlank="1" showInputMessage="1" showErrorMessage="1" sqref="Q5:Q28" xr:uid="{116A1565-ABCD-4D7B-8064-91E77EE834B9}">
      <formula1>manual_tool_change</formula1>
    </dataValidation>
    <dataValidation type="list" allowBlank="1" showInputMessage="1" showErrorMessage="1" sqref="E5:E28" xr:uid="{1B614DB8-C4FC-4283-865D-3C63B5CD1DC9}">
      <formula1>Connector_list</formula1>
    </dataValidation>
    <dataValidation type="list" allowBlank="1" showInputMessage="1" showErrorMessage="1" sqref="T5:T28" xr:uid="{D2016955-923B-4399-A4C8-E47334B4F4E7}">
      <formula1>manipulation_type</formula1>
    </dataValidation>
    <dataValidation type="list" allowBlank="1" showInputMessage="1" showErrorMessage="1" sqref="M9:M13 M16 M5:M7" xr:uid="{FE8BBA41-32B9-41C3-ACC3-66B6F0DA57F1}">
      <formula1>"Yes,No,N/A"</formula1>
    </dataValidation>
    <dataValidation type="list" allowBlank="1" showInputMessage="1" showErrorMessage="1" sqref="R5:R6" xr:uid="{00F7EC54-B90A-4248-88E3-189F2DD8CDE4}">
      <formula1>"No Tool Change,Tool Change,Two Tool Changes"</formula1>
    </dataValidation>
    <dataValidation type="list" allowBlank="1" showInputMessage="1" showErrorMessage="1" sqref="M14" xr:uid="{F158E46C-F89F-404A-B9A9-E0B3A31B3BF3}">
      <formula1>"Yes,No,NA"</formula1>
    </dataValidation>
    <dataValidation type="list" allowBlank="1" showInputMessage="1" showErrorMessage="1" sqref="M17:M28 G5:G28 N5:P28 M15 M8" xr:uid="{313E9149-A40B-4855-9C16-0416CADC04A2}">
      <formula1>"Yes,No"</formula1>
    </dataValidation>
    <dataValidation type="list" allowBlank="1" showInputMessage="1" showErrorMessage="1" sqref="U5:U28" xr:uid="{5584A378-A2A4-438B-A055-3470FE8DA62E}">
      <formula1>removal_type</formula1>
    </dataValidation>
  </dataValidations>
  <pageMargins left="0.25" right="0.25" top="0.75" bottom="0.75" header="0.3" footer="0.3"/>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5" id="{530278FD-60A3-40D5-927E-B96BE395CD15}">
            <xm:f>AND(ISNUMBER(H5),H5&gt;'Action Time'!$B$67)</xm:f>
            <x14:dxf>
              <font>
                <color rgb="FFFF0000"/>
              </font>
            </x14:dxf>
          </x14:cfRule>
          <xm:sqref>H5:H28</xm:sqref>
        </x14:conditionalFormatting>
        <x14:conditionalFormatting xmlns:xm="http://schemas.microsoft.com/office/excel/2006/main">
          <x14:cfRule type="expression" priority="4" id="{B2F67D67-DE38-4E57-BACB-FAA7EB4F557B}">
            <xm:f>AND(ISNUMBER(I5),I5&gt;'Action Time'!$B$68)</xm:f>
            <x14:dxf>
              <font>
                <color rgb="FFFF0000"/>
              </font>
            </x14:dxf>
          </x14:cfRule>
          <xm:sqref>I5:I28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EE728-1592-474D-85E6-D79AEF2A1B35}">
  <sheetPr>
    <tabColor rgb="FF2A4942"/>
    <pageSetUpPr fitToPage="1"/>
  </sheetPr>
  <dimension ref="A1:AM20"/>
  <sheetViews>
    <sheetView topLeftCell="E1" zoomScale="85" zoomScaleNormal="85" workbookViewId="0">
      <pane ySplit="4" topLeftCell="A5" activePane="bottomLeft" state="frozen"/>
      <selection pane="bottomLeft" activeCell="R9" sqref="R9"/>
    </sheetView>
  </sheetViews>
  <sheetFormatPr defaultColWidth="7.453125" defaultRowHeight="13" x14ac:dyDescent="0.3"/>
  <cols>
    <col min="1" max="1" width="10.453125" style="6" customWidth="1"/>
    <col min="2" max="2" width="11.90625" style="8" customWidth="1"/>
    <col min="3" max="3" width="22.54296875" style="5" customWidth="1"/>
    <col min="4" max="4" width="18.90625" style="5" customWidth="1"/>
    <col min="5" max="5" width="34.08984375" style="4" customWidth="1"/>
    <col min="6" max="6" width="9.90625" style="4" customWidth="1"/>
    <col min="7" max="7" width="13.54296875" style="4" customWidth="1"/>
    <col min="8" max="8" width="12.453125" style="4" customWidth="1"/>
    <col min="9" max="9" width="10.90625" style="4" customWidth="1"/>
    <col min="10" max="11" width="6.08984375" style="4" customWidth="1"/>
    <col min="12" max="12" width="5.90625" style="4" customWidth="1"/>
    <col min="13" max="14" width="9.08984375" style="4" customWidth="1"/>
    <col min="15" max="16" width="9.54296875" style="4" customWidth="1"/>
    <col min="17" max="17" width="13.54296875" style="4" customWidth="1"/>
    <col min="18" max="18" width="10.08984375" style="4" customWidth="1"/>
    <col min="19" max="19" width="34.08984375" style="4" customWidth="1"/>
    <col min="20" max="20" width="18.08984375" style="4" customWidth="1"/>
    <col min="21" max="21" width="18.54296875" style="4" customWidth="1"/>
    <col min="22" max="22" width="6.54296875" style="4" customWidth="1"/>
    <col min="23" max="23" width="4.453125" style="4" customWidth="1"/>
    <col min="24" max="24" width="6.54296875" style="4" customWidth="1"/>
    <col min="25" max="25" width="6.54296875" style="7" customWidth="1"/>
    <col min="26" max="26" width="7.453125" style="4" customWidth="1"/>
    <col min="27" max="27" width="5.08984375" style="4" customWidth="1"/>
    <col min="28" max="28" width="7.453125" style="4" bestFit="1" customWidth="1"/>
    <col min="29" max="29" width="8.453125" style="4" customWidth="1"/>
    <col min="30" max="32" width="8.54296875" style="4" bestFit="1" customWidth="1"/>
    <col min="33" max="33" width="7.453125" style="4" customWidth="1"/>
    <col min="34" max="34" width="7.08984375" style="4" customWidth="1"/>
    <col min="35" max="35" width="8.54296875" style="4" bestFit="1" customWidth="1"/>
    <col min="36" max="36" width="15.6328125" style="4" customWidth="1"/>
    <col min="37" max="37" width="17.453125" style="10" customWidth="1"/>
    <col min="38" max="38" width="30.90625" style="4" customWidth="1"/>
    <col min="39" max="39" width="31.54296875" style="4" customWidth="1"/>
    <col min="40" max="16384" width="7.453125" style="4"/>
  </cols>
  <sheetData>
    <row r="1" spans="1:39" ht="98.4" customHeight="1" thickBot="1" x14ac:dyDescent="0.35">
      <c r="A1" s="127" t="s">
        <v>318</v>
      </c>
      <c r="B1" s="127"/>
      <c r="C1" s="127"/>
      <c r="D1" s="127"/>
      <c r="E1" s="127" t="s">
        <v>310</v>
      </c>
      <c r="F1" s="127"/>
      <c r="G1" s="127"/>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9"/>
      <c r="AL1" s="50"/>
      <c r="AM1" s="50"/>
    </row>
    <row r="2" spans="1:39" s="73" customFormat="1" ht="21" customHeight="1" thickBot="1" x14ac:dyDescent="0.35">
      <c r="A2" s="93" t="s">
        <v>0</v>
      </c>
      <c r="B2" s="94"/>
      <c r="C2" s="94"/>
      <c r="D2" s="94"/>
      <c r="E2" s="94"/>
      <c r="F2" s="95"/>
      <c r="G2" s="99" t="s">
        <v>1</v>
      </c>
      <c r="H2" s="100"/>
      <c r="I2" s="100"/>
      <c r="J2" s="100"/>
      <c r="K2" s="100"/>
      <c r="L2" s="100"/>
      <c r="M2" s="100"/>
      <c r="N2" s="101"/>
      <c r="O2" s="115" t="s">
        <v>2</v>
      </c>
      <c r="P2" s="94"/>
      <c r="Q2" s="94"/>
      <c r="R2" s="94"/>
      <c r="S2" s="94"/>
      <c r="T2" s="94"/>
      <c r="U2" s="114"/>
      <c r="V2" s="93" t="s">
        <v>315</v>
      </c>
      <c r="W2" s="94"/>
      <c r="X2" s="94"/>
      <c r="Y2" s="94"/>
      <c r="Z2" s="94"/>
      <c r="AA2" s="94"/>
      <c r="AB2" s="114"/>
      <c r="AC2" s="93" t="s">
        <v>316</v>
      </c>
      <c r="AD2" s="94"/>
      <c r="AE2" s="94"/>
      <c r="AF2" s="94"/>
      <c r="AG2" s="94"/>
      <c r="AH2" s="94"/>
      <c r="AI2" s="114"/>
      <c r="AJ2" s="99" t="s">
        <v>317</v>
      </c>
      <c r="AK2" s="101"/>
      <c r="AL2" s="125" t="s">
        <v>4</v>
      </c>
      <c r="AM2" s="126"/>
    </row>
    <row r="3" spans="1:39" ht="28.65" customHeight="1" x14ac:dyDescent="0.3">
      <c r="A3" s="91" t="s">
        <v>5</v>
      </c>
      <c r="B3" s="96" t="s">
        <v>6</v>
      </c>
      <c r="C3" s="91" t="s">
        <v>7</v>
      </c>
      <c r="D3" s="91" t="s">
        <v>8</v>
      </c>
      <c r="E3" s="106" t="s">
        <v>9</v>
      </c>
      <c r="F3" s="91" t="s">
        <v>10</v>
      </c>
      <c r="G3" s="89" t="s">
        <v>11</v>
      </c>
      <c r="H3" s="89" t="s">
        <v>309</v>
      </c>
      <c r="I3" s="89" t="s">
        <v>12</v>
      </c>
      <c r="J3" s="89" t="s">
        <v>13</v>
      </c>
      <c r="K3" s="89"/>
      <c r="L3" s="89"/>
      <c r="M3" s="89" t="s">
        <v>14</v>
      </c>
      <c r="N3" s="98" t="s">
        <v>3</v>
      </c>
      <c r="O3" s="91" t="s">
        <v>15</v>
      </c>
      <c r="P3" s="91" t="s">
        <v>16</v>
      </c>
      <c r="Q3" s="91" t="s">
        <v>17</v>
      </c>
      <c r="R3" s="91"/>
      <c r="S3" s="91" t="s">
        <v>245</v>
      </c>
      <c r="T3" s="91" t="s">
        <v>18</v>
      </c>
      <c r="U3" s="91" t="s">
        <v>19</v>
      </c>
      <c r="V3" s="110" t="s">
        <v>20</v>
      </c>
      <c r="W3" s="110" t="s">
        <v>21</v>
      </c>
      <c r="X3" s="110" t="s">
        <v>22</v>
      </c>
      <c r="Y3" s="116" t="s">
        <v>23</v>
      </c>
      <c r="Z3" s="110" t="s">
        <v>24</v>
      </c>
      <c r="AA3" s="110" t="s">
        <v>25</v>
      </c>
      <c r="AB3" s="112" t="s">
        <v>26</v>
      </c>
      <c r="AC3" s="110" t="s">
        <v>20</v>
      </c>
      <c r="AD3" s="110" t="s">
        <v>27</v>
      </c>
      <c r="AE3" s="110" t="s">
        <v>22</v>
      </c>
      <c r="AF3" s="116" t="s">
        <v>23</v>
      </c>
      <c r="AG3" s="110" t="s">
        <v>24</v>
      </c>
      <c r="AH3" s="110" t="s">
        <v>25</v>
      </c>
      <c r="AI3" s="112" t="s">
        <v>26</v>
      </c>
      <c r="AJ3" s="123" t="s">
        <v>246</v>
      </c>
      <c r="AK3" s="121" t="s">
        <v>247</v>
      </c>
      <c r="AL3" s="126"/>
      <c r="AM3" s="126"/>
    </row>
    <row r="4" spans="1:39" ht="62.4" customHeight="1" x14ac:dyDescent="0.3">
      <c r="A4" s="92"/>
      <c r="B4" s="97"/>
      <c r="C4" s="92"/>
      <c r="D4" s="92"/>
      <c r="E4" s="107"/>
      <c r="F4" s="92"/>
      <c r="G4" s="90"/>
      <c r="H4" s="90"/>
      <c r="I4" s="90"/>
      <c r="J4" s="71" t="s">
        <v>28</v>
      </c>
      <c r="K4" s="71" t="s">
        <v>29</v>
      </c>
      <c r="L4" s="71" t="s">
        <v>30</v>
      </c>
      <c r="M4" s="90"/>
      <c r="N4" s="89"/>
      <c r="O4" s="92"/>
      <c r="P4" s="92"/>
      <c r="Q4" s="72" t="s">
        <v>31</v>
      </c>
      <c r="R4" s="72" t="s">
        <v>32</v>
      </c>
      <c r="S4" s="92"/>
      <c r="T4" s="92"/>
      <c r="U4" s="92"/>
      <c r="V4" s="111"/>
      <c r="W4" s="111"/>
      <c r="X4" s="111"/>
      <c r="Y4" s="117"/>
      <c r="Z4" s="111"/>
      <c r="AA4" s="111"/>
      <c r="AB4" s="113"/>
      <c r="AC4" s="111"/>
      <c r="AD4" s="111"/>
      <c r="AE4" s="111"/>
      <c r="AF4" s="117"/>
      <c r="AG4" s="111"/>
      <c r="AH4" s="111"/>
      <c r="AI4" s="113"/>
      <c r="AJ4" s="124"/>
      <c r="AK4" s="122"/>
      <c r="AL4" s="126"/>
      <c r="AM4" s="126"/>
    </row>
    <row r="5" spans="1:39" s="5" customFormat="1" ht="31.65" customHeight="1" x14ac:dyDescent="0.3">
      <c r="A5" s="66">
        <v>1</v>
      </c>
      <c r="B5" s="67" t="s">
        <v>259</v>
      </c>
      <c r="C5" s="66" t="s">
        <v>263</v>
      </c>
      <c r="D5" s="66" t="s">
        <v>264</v>
      </c>
      <c r="E5" s="66" t="s">
        <v>120</v>
      </c>
      <c r="F5" s="66">
        <v>6</v>
      </c>
      <c r="G5" s="68" t="s">
        <v>260</v>
      </c>
      <c r="H5" s="68">
        <v>250</v>
      </c>
      <c r="I5" s="68">
        <v>4</v>
      </c>
      <c r="J5" s="68" t="s">
        <v>261</v>
      </c>
      <c r="K5" s="68" t="s">
        <v>261</v>
      </c>
      <c r="L5" s="68" t="s">
        <v>261</v>
      </c>
      <c r="M5" s="68" t="s">
        <v>260</v>
      </c>
      <c r="N5" s="68" t="s">
        <v>260</v>
      </c>
      <c r="O5" s="66" t="s">
        <v>260</v>
      </c>
      <c r="P5" s="66" t="s">
        <v>260</v>
      </c>
      <c r="Q5" s="66" t="s">
        <v>211</v>
      </c>
      <c r="R5" s="66" t="s">
        <v>237</v>
      </c>
      <c r="S5" s="66" t="s">
        <v>36</v>
      </c>
      <c r="T5" s="66" t="s">
        <v>37</v>
      </c>
      <c r="U5" s="66" t="s">
        <v>46</v>
      </c>
      <c r="V5" s="40">
        <f>VLOOKUP(Q5,manual_tool_change_table[#All],4,FALSE)</f>
        <v>0.72</v>
      </c>
      <c r="W5" s="40">
        <f>IF(O5="No",F5*'Action Time'!$D$37,0)</f>
        <v>0</v>
      </c>
      <c r="X5" s="41">
        <f>VLOOKUP(T5,manipulation_table[#All],4,FALSE)</f>
        <v>0</v>
      </c>
      <c r="Y5" s="41">
        <f>(VLOOKUP(S5,position_table[#All],4,FALSE)*F5)+(IF(S5='Action Time'!$A$3,0.36,0))+(IF(S5='Action Time'!$A$6,0.36,0))+(IF(S5='Action Time'!$A$8,'Action Time'!$D$8,0))+(IF(S5='Action Time'!$A$9,'Action Time'!$D$9,0))</f>
        <v>8.64</v>
      </c>
      <c r="Z5" s="40">
        <f>VLOOKUP(E5,Connectors_Table[#All],4,FALSE)*F5</f>
        <v>0</v>
      </c>
      <c r="AA5" s="41">
        <f>VLOOKUP(U5,removal_table[#All],4,FALSE)</f>
        <v>1.44</v>
      </c>
      <c r="AB5" s="40">
        <f>SUM(V5:AA5)</f>
        <v>10.8</v>
      </c>
      <c r="AC5" s="40">
        <f>IF(N5="No", ,VLOOKUP(R5,robot_action_table[#All],2,FALSE))</f>
        <v>14</v>
      </c>
      <c r="AD5" s="40">
        <f>IF(N5="Yes",VLOOKUP("Robot traversal",robot_action_table[#All],2,FALSE),0)</f>
        <v>3</v>
      </c>
      <c r="AE5" s="40">
        <f>IF(N5="No",,VLOOKUP(T5,manipulation_table[#All],5,FALSE))</f>
        <v>0</v>
      </c>
      <c r="AF5" s="41">
        <f>IF(N5="No",,(VLOOKUP(S5,position_table[#All],5,FALSE)*F5))</f>
        <v>24</v>
      </c>
      <c r="AG5" s="41">
        <f>IF(N5="No",,VLOOKUP(E5,Connectors_Table[#All],6,FALSE)*F5)</f>
        <v>0</v>
      </c>
      <c r="AH5" s="41">
        <f>IF(N5="Yes",IF(U5="No removal",0,VLOOKUP("Object removal",robot_action_table[],2,FALSE)),0)</f>
        <v>6</v>
      </c>
      <c r="AI5" s="41">
        <f>SUM(AC5:AH5)</f>
        <v>47</v>
      </c>
      <c r="AJ5" s="41">
        <f>IF(N5="No",AB5,)</f>
        <v>0</v>
      </c>
      <c r="AK5" s="42">
        <f>IF(OR(AND(AJ4=0,AJ5&lt;&gt;0),AND(AJ5=0,AJ4&lt;&gt;0)),VLOOKUP("Task Changeover time",robot_action_table[#All],2,FALSE),0)</f>
        <v>0</v>
      </c>
      <c r="AL5" s="52"/>
      <c r="AM5" s="53"/>
    </row>
    <row r="6" spans="1:39" s="5" customFormat="1" ht="31.65" customHeight="1" x14ac:dyDescent="0.3">
      <c r="A6" s="66">
        <v>2</v>
      </c>
      <c r="B6" s="67" t="s">
        <v>265</v>
      </c>
      <c r="C6" s="66" t="s">
        <v>266</v>
      </c>
      <c r="D6" s="66" t="s">
        <v>42</v>
      </c>
      <c r="E6" s="66" t="s">
        <v>42</v>
      </c>
      <c r="F6" s="66">
        <v>0</v>
      </c>
      <c r="G6" s="68" t="s">
        <v>260</v>
      </c>
      <c r="H6" s="68">
        <v>180</v>
      </c>
      <c r="I6" s="68">
        <v>150</v>
      </c>
      <c r="J6" s="68" t="s">
        <v>261</v>
      </c>
      <c r="K6" s="68" t="s">
        <v>261</v>
      </c>
      <c r="L6" s="68" t="s">
        <v>261</v>
      </c>
      <c r="M6" s="68" t="s">
        <v>260</v>
      </c>
      <c r="N6" s="68" t="s">
        <v>260</v>
      </c>
      <c r="O6" s="66" t="s">
        <v>260</v>
      </c>
      <c r="P6" s="66" t="s">
        <v>262</v>
      </c>
      <c r="Q6" s="66" t="s">
        <v>43</v>
      </c>
      <c r="R6" s="66" t="s">
        <v>44</v>
      </c>
      <c r="S6" s="66" t="s">
        <v>45</v>
      </c>
      <c r="T6" s="66" t="s">
        <v>37</v>
      </c>
      <c r="U6" s="66" t="s">
        <v>46</v>
      </c>
      <c r="V6" s="40">
        <f>VLOOKUP(Q6,manual_tool_change_table[#All],4,FALSE)</f>
        <v>0</v>
      </c>
      <c r="W6" s="40">
        <f>IF(O6="No",F6*'Action Time'!$D$37,0)</f>
        <v>0</v>
      </c>
      <c r="X6" s="41">
        <f>VLOOKUP(T6,manipulation_table[#All],4,FALSE)</f>
        <v>0</v>
      </c>
      <c r="Y6" s="41">
        <f>(VLOOKUP(S6,position_table[#All],4,FALSE)*F6)+(IF(S6='Action Time'!$A$3,0.36,0))+(IF(S6='Action Time'!$A$6,0.36,0))+(IF(S6='Action Time'!$A$8,'Action Time'!$D$8,0))+(IF(S6='Action Time'!$A$9,'Action Time'!$D$9,0))</f>
        <v>1.44</v>
      </c>
      <c r="Z6" s="40">
        <f>VLOOKUP(E6,Connectors_Table[#All],4,FALSE)*F6</f>
        <v>0</v>
      </c>
      <c r="AA6" s="41">
        <f>VLOOKUP(U6,removal_table[#All],4,FALSE)</f>
        <v>1.44</v>
      </c>
      <c r="AB6" s="40">
        <f t="shared" ref="AB6:AB11" si="0">SUM(V6:AA6)</f>
        <v>2.88</v>
      </c>
      <c r="AC6" s="40">
        <f>IF(N6="No", ,VLOOKUP(R6,robot_action_table[#All],2,FALSE))</f>
        <v>0</v>
      </c>
      <c r="AD6" s="40">
        <f>IF(N6="Yes",VLOOKUP("Robot traversal",robot_action_table[#All],2,FALSE),0)</f>
        <v>3</v>
      </c>
      <c r="AE6" s="40">
        <f>IF(N6="No",,VLOOKUP(T6,manipulation_table[#All],5,FALSE))</f>
        <v>0</v>
      </c>
      <c r="AF6" s="41">
        <f>IF(N6="No",,(VLOOKUP(S6,position_table[#All],5,FALSE)*F6))</f>
        <v>0</v>
      </c>
      <c r="AG6" s="41">
        <f>IF(N6="No",,VLOOKUP(E6,Connectors_Table[#All],6,FALSE)*F6)</f>
        <v>0</v>
      </c>
      <c r="AH6" s="41">
        <f>IF(N6="Yes",IF(U6="No removal",0,VLOOKUP("Object removal",robot_action_table[],2,FALSE)),0)</f>
        <v>6</v>
      </c>
      <c r="AI6" s="41">
        <f t="shared" ref="AI6:AI11" si="1">SUM(AC6:AH6)</f>
        <v>9</v>
      </c>
      <c r="AJ6" s="41">
        <f t="shared" ref="AJ6:AJ11" si="2">IF(N6="No",AB6,)</f>
        <v>0</v>
      </c>
      <c r="AK6" s="42">
        <f>IF(OR(AND(AJ5=0,AJ6&lt;&gt;0),AND(AJ6=0,AJ5&lt;&gt;0)),VLOOKUP("Task Changeover time",robot_action_table[#All],2,FALSE),0)</f>
        <v>0</v>
      </c>
      <c r="AL6" s="54"/>
      <c r="AM6" s="55"/>
    </row>
    <row r="7" spans="1:39" ht="27.65" customHeight="1" x14ac:dyDescent="0.3">
      <c r="A7" s="66">
        <v>3</v>
      </c>
      <c r="B7" s="67" t="s">
        <v>259</v>
      </c>
      <c r="C7" s="66" t="s">
        <v>267</v>
      </c>
      <c r="D7" s="66" t="s">
        <v>268</v>
      </c>
      <c r="E7" s="66" t="s">
        <v>118</v>
      </c>
      <c r="F7" s="66">
        <v>2</v>
      </c>
      <c r="G7" s="68" t="s">
        <v>260</v>
      </c>
      <c r="H7" s="68">
        <v>2350</v>
      </c>
      <c r="I7" s="68">
        <v>150</v>
      </c>
      <c r="J7" s="68">
        <v>12</v>
      </c>
      <c r="K7" s="68">
        <v>10</v>
      </c>
      <c r="L7" s="68" t="s">
        <v>261</v>
      </c>
      <c r="M7" s="68" t="s">
        <v>260</v>
      </c>
      <c r="N7" s="68" t="s">
        <v>260</v>
      </c>
      <c r="O7" s="66" t="s">
        <v>260</v>
      </c>
      <c r="P7" s="66" t="s">
        <v>260</v>
      </c>
      <c r="Q7" s="66" t="s">
        <v>34</v>
      </c>
      <c r="R7" s="66" t="s">
        <v>237</v>
      </c>
      <c r="S7" s="66" t="s">
        <v>164</v>
      </c>
      <c r="T7" s="66" t="s">
        <v>173</v>
      </c>
      <c r="U7" s="66" t="s">
        <v>46</v>
      </c>
      <c r="V7" s="40">
        <f>VLOOKUP(Q7,manual_tool_change_table[#All],4,FALSE)</f>
        <v>1.44</v>
      </c>
      <c r="W7" s="40">
        <f>IF(O7="No",F7*'Action Time'!$D$37,0)</f>
        <v>0</v>
      </c>
      <c r="X7" s="41">
        <f>VLOOKUP(T7,manipulation_table[#All],4,FALSE)</f>
        <v>3.5999999999999996</v>
      </c>
      <c r="Y7" s="41">
        <f>(VLOOKUP(S7,position_table[#All],4,FALSE)*F7)+(IF(S7='Action Time'!$A$3,0.36,0))+(IF(S7='Action Time'!$A$6,0.36,0))+(IF(S7='Action Time'!$A$8,'Action Time'!$D$8,0))+(IF(S7='Action Time'!$A$9,'Action Time'!$D$9,0))</f>
        <v>5.04</v>
      </c>
      <c r="Z7" s="40">
        <f>VLOOKUP(E7,Connectors_Table[#All],4,FALSE)*F7</f>
        <v>7.1999999999999993</v>
      </c>
      <c r="AA7" s="41">
        <f>VLOOKUP(U7,removal_table[#All],4,FALSE)</f>
        <v>1.44</v>
      </c>
      <c r="AB7" s="40">
        <f t="shared" si="0"/>
        <v>18.72</v>
      </c>
      <c r="AC7" s="40">
        <f>IF(N7="No", ,VLOOKUP(R7,robot_action_table[#All],2,FALSE))</f>
        <v>14</v>
      </c>
      <c r="AD7" s="40">
        <f>IF(N7="Yes",VLOOKUP("Robot traversal",robot_action_table[#All],2,FALSE),0)</f>
        <v>3</v>
      </c>
      <c r="AE7" s="40">
        <f>IF(N7="No",,VLOOKUP(T7,manipulation_table[#All],5,FALSE))</f>
        <v>0</v>
      </c>
      <c r="AF7" s="41">
        <f>IF(N7="No",,(VLOOKUP(S7,position_table[#All],5,FALSE)*F7))</f>
        <v>8</v>
      </c>
      <c r="AG7" s="41">
        <f>IF(N7="No",,VLOOKUP(E7,Connectors_Table[#All],6,FALSE)*F7)</f>
        <v>0</v>
      </c>
      <c r="AH7" s="41">
        <f>IF(N7="Yes",IF(U7="No removal",0,VLOOKUP("Object removal",robot_action_table[],2,FALSE)),0)</f>
        <v>6</v>
      </c>
      <c r="AI7" s="41">
        <f t="shared" si="1"/>
        <v>31</v>
      </c>
      <c r="AJ7" s="41">
        <f t="shared" si="2"/>
        <v>0</v>
      </c>
      <c r="AK7" s="42">
        <f>IF(OR(AND(AJ6=0,AJ7&lt;&gt;0),AND(AJ7=0,AJ6&lt;&gt;0)),VLOOKUP("Task Changeover time",robot_action_table[#All],2,FALSE),0)</f>
        <v>0</v>
      </c>
      <c r="AL7" s="56"/>
      <c r="AM7" s="56"/>
    </row>
    <row r="8" spans="1:39" ht="24.65" customHeight="1" x14ac:dyDescent="0.3">
      <c r="A8" s="66">
        <v>4</v>
      </c>
      <c r="B8" s="67" t="s">
        <v>269</v>
      </c>
      <c r="C8" s="66" t="s">
        <v>270</v>
      </c>
      <c r="D8" s="66" t="s">
        <v>271</v>
      </c>
      <c r="E8" s="66" t="s">
        <v>108</v>
      </c>
      <c r="F8" s="66">
        <v>2</v>
      </c>
      <c r="G8" s="68" t="s">
        <v>262</v>
      </c>
      <c r="H8" s="68">
        <v>170</v>
      </c>
      <c r="I8" s="68">
        <v>7</v>
      </c>
      <c r="J8" s="68" t="s">
        <v>261</v>
      </c>
      <c r="K8" s="68" t="s">
        <v>261</v>
      </c>
      <c r="L8" s="68" t="s">
        <v>261</v>
      </c>
      <c r="M8" s="68" t="s">
        <v>262</v>
      </c>
      <c r="N8" s="68" t="s">
        <v>262</v>
      </c>
      <c r="O8" s="66" t="s">
        <v>260</v>
      </c>
      <c r="P8" s="66" t="s">
        <v>260</v>
      </c>
      <c r="Q8" s="66" t="s">
        <v>43</v>
      </c>
      <c r="R8" s="66" t="s">
        <v>44</v>
      </c>
      <c r="S8" s="66" t="s">
        <v>40</v>
      </c>
      <c r="T8" s="66" t="s">
        <v>37</v>
      </c>
      <c r="U8" s="66" t="s">
        <v>41</v>
      </c>
      <c r="V8" s="40">
        <f>VLOOKUP(Q8,manual_tool_change_table[#All],4,FALSE)</f>
        <v>0</v>
      </c>
      <c r="W8" s="40">
        <f>IF(O8="No",F8*'Action Time'!$D$37,0)</f>
        <v>0</v>
      </c>
      <c r="X8" s="41">
        <f>VLOOKUP(T8,manipulation_table[#All],4,FALSE)</f>
        <v>0</v>
      </c>
      <c r="Y8" s="41">
        <f>(VLOOKUP(S8,position_table[#All],4,FALSE)*F8)+(IF(S8='Action Time'!$A$3,0.36,0))+(IF(S8='Action Time'!$A$6,0.36,0))+(IF(S8='Action Time'!$A$8,'Action Time'!$D$8,0))+(IF(S8='Action Time'!$A$9,'Action Time'!$D$9,0))</f>
        <v>5.04</v>
      </c>
      <c r="Z8" s="40">
        <f>VLOOKUP(E8,Connectors_Table[#All],4,FALSE)*F8</f>
        <v>1.44</v>
      </c>
      <c r="AA8" s="41">
        <f>VLOOKUP(U8,removal_table[#All],4,FALSE)</f>
        <v>3.2399999999999998</v>
      </c>
      <c r="AB8" s="40">
        <f t="shared" si="0"/>
        <v>9.7200000000000006</v>
      </c>
      <c r="AC8" s="40">
        <f>IF(N8="No", ,VLOOKUP(R8,robot_action_table[#All],2,FALSE))</f>
        <v>0</v>
      </c>
      <c r="AD8" s="40">
        <f>IF(N8="Yes",VLOOKUP("Robot traversal",robot_action_table[#All],2,FALSE),0)</f>
        <v>0</v>
      </c>
      <c r="AE8" s="40">
        <f>IF(N8="No",,VLOOKUP(T8,manipulation_table[#All],5,FALSE))</f>
        <v>0</v>
      </c>
      <c r="AF8" s="41">
        <f>IF(N8="No",,(VLOOKUP(S8,position_table[#All],5,FALSE)*F8))</f>
        <v>0</v>
      </c>
      <c r="AG8" s="41">
        <f>IF(N8="No",,VLOOKUP(E8,Connectors_Table[#All],6,FALSE)*F8)</f>
        <v>0</v>
      </c>
      <c r="AH8" s="41">
        <f>IF(N8="Yes",IF(U8="No removal",0,VLOOKUP("Object removal",robot_action_table[],2,FALSE)),0)</f>
        <v>0</v>
      </c>
      <c r="AI8" s="41">
        <f t="shared" si="1"/>
        <v>0</v>
      </c>
      <c r="AJ8" s="41">
        <f t="shared" si="2"/>
        <v>9.7200000000000006</v>
      </c>
      <c r="AK8" s="42">
        <f>IF(OR(AND(AJ7=0,AJ8&lt;&gt;0),AND(AJ8=0,AJ7&lt;&gt;0)),VLOOKUP("Task Changeover time",robot_action_table[#All],2,FALSE),0)</f>
        <v>6</v>
      </c>
      <c r="AL8" s="56"/>
      <c r="AM8" s="56"/>
    </row>
    <row r="9" spans="1:39" ht="25.65" customHeight="1" x14ac:dyDescent="0.3">
      <c r="A9" s="66">
        <v>5</v>
      </c>
      <c r="B9" s="67" t="s">
        <v>272</v>
      </c>
      <c r="C9" s="66" t="s">
        <v>273</v>
      </c>
      <c r="D9" s="66" t="s">
        <v>274</v>
      </c>
      <c r="E9" s="66" t="s">
        <v>91</v>
      </c>
      <c r="F9" s="66">
        <v>1</v>
      </c>
      <c r="G9" s="68" t="s">
        <v>262</v>
      </c>
      <c r="H9" s="68">
        <v>300</v>
      </c>
      <c r="I9" s="68">
        <v>150</v>
      </c>
      <c r="J9" s="68" t="s">
        <v>261</v>
      </c>
      <c r="K9" s="68" t="s">
        <v>261</v>
      </c>
      <c r="L9" s="68" t="s">
        <v>261</v>
      </c>
      <c r="M9" s="68" t="s">
        <v>262</v>
      </c>
      <c r="N9" s="68" t="s">
        <v>262</v>
      </c>
      <c r="O9" s="66" t="s">
        <v>260</v>
      </c>
      <c r="P9" s="66" t="s">
        <v>262</v>
      </c>
      <c r="Q9" s="66" t="s">
        <v>43</v>
      </c>
      <c r="R9" s="66" t="s">
        <v>44</v>
      </c>
      <c r="S9" s="69" t="s">
        <v>158</v>
      </c>
      <c r="T9" s="66" t="s">
        <v>37</v>
      </c>
      <c r="U9" s="66" t="s">
        <v>38</v>
      </c>
      <c r="V9" s="40">
        <f>VLOOKUP(Q9,manual_tool_change_table[#All],4,FALSE)</f>
        <v>0</v>
      </c>
      <c r="W9" s="40">
        <f>IF(O9="No",F9*'Action Time'!$D$37,0)</f>
        <v>0</v>
      </c>
      <c r="X9" s="41">
        <f>VLOOKUP(T9,manipulation_table[#All],4,FALSE)</f>
        <v>0</v>
      </c>
      <c r="Y9" s="41">
        <f>(VLOOKUP(S9,position_table[#All],4,FALSE)*F9)+(IF(S9='Action Time'!$A$3,0.36,0))+(IF(S9='Action Time'!$A$6,0.36,0))+(IF(S9='Action Time'!$A$8,'Action Time'!$D$8,0))+(IF(S9='Action Time'!$A$9,'Action Time'!$D$9,0))</f>
        <v>1.44</v>
      </c>
      <c r="Z9" s="40">
        <f>VLOOKUP(E9,Connectors_Table[#All],4,FALSE)*F9</f>
        <v>0.36</v>
      </c>
      <c r="AA9" s="41">
        <f>VLOOKUP(U9,removal_table[#All],4,FALSE)</f>
        <v>0</v>
      </c>
      <c r="AB9" s="40">
        <f t="shared" si="0"/>
        <v>1.7999999999999998</v>
      </c>
      <c r="AC9" s="40">
        <f>IF(N9="No", ,VLOOKUP(R9,robot_action_table[#All],2,FALSE))</f>
        <v>0</v>
      </c>
      <c r="AD9" s="40">
        <f>IF(N9="Yes",VLOOKUP("Robot traversal",robot_action_table[#All],2,FALSE),0)</f>
        <v>0</v>
      </c>
      <c r="AE9" s="40">
        <f>IF(N9="No",,VLOOKUP(T9,manipulation_table[#All],5,FALSE))</f>
        <v>0</v>
      </c>
      <c r="AF9" s="41">
        <f>IF(N9="No",,(VLOOKUP(S9,position_table[#All],5,FALSE)*F9))</f>
        <v>0</v>
      </c>
      <c r="AG9" s="41">
        <f>IF(N9="No",,VLOOKUP(E9,Connectors_Table[#All],6,FALSE)*F9)</f>
        <v>0</v>
      </c>
      <c r="AH9" s="41">
        <f>IF(N9="Yes",IF(U9="No removal",0,VLOOKUP("Object removal",robot_action_table[],2,FALSE)),0)</f>
        <v>0</v>
      </c>
      <c r="AI9" s="41">
        <f t="shared" si="1"/>
        <v>0</v>
      </c>
      <c r="AJ9" s="41">
        <f t="shared" si="2"/>
        <v>1.7999999999999998</v>
      </c>
      <c r="AK9" s="42">
        <f>IF(OR(AND(AJ8=0,AJ9&lt;&gt;0),AND(AJ9=0,AJ8&lt;&gt;0)),VLOOKUP("Task Changeover time",robot_action_table[#All],2,FALSE),0)</f>
        <v>0</v>
      </c>
      <c r="AL9" s="53"/>
      <c r="AM9" s="56"/>
    </row>
    <row r="10" spans="1:39" ht="25.65" customHeight="1" x14ac:dyDescent="0.3">
      <c r="A10" s="66">
        <v>6</v>
      </c>
      <c r="B10" s="67" t="s">
        <v>275</v>
      </c>
      <c r="C10" s="66" t="s">
        <v>276</v>
      </c>
      <c r="D10" s="66" t="s">
        <v>271</v>
      </c>
      <c r="E10" s="66" t="s">
        <v>108</v>
      </c>
      <c r="F10" s="66">
        <v>1</v>
      </c>
      <c r="G10" s="68" t="s">
        <v>260</v>
      </c>
      <c r="H10" s="68">
        <v>300</v>
      </c>
      <c r="I10" s="68">
        <v>150</v>
      </c>
      <c r="J10" s="68">
        <v>12</v>
      </c>
      <c r="K10" s="68" t="s">
        <v>261</v>
      </c>
      <c r="L10" s="68">
        <v>5</v>
      </c>
      <c r="M10" s="68" t="s">
        <v>262</v>
      </c>
      <c r="N10" s="68" t="s">
        <v>262</v>
      </c>
      <c r="O10" s="66" t="s">
        <v>260</v>
      </c>
      <c r="P10" s="66" t="s">
        <v>262</v>
      </c>
      <c r="Q10" s="66" t="s">
        <v>43</v>
      </c>
      <c r="R10" s="66" t="s">
        <v>44</v>
      </c>
      <c r="S10" s="66" t="s">
        <v>158</v>
      </c>
      <c r="T10" s="66" t="s">
        <v>37</v>
      </c>
      <c r="U10" s="66" t="s">
        <v>46</v>
      </c>
      <c r="V10" s="40">
        <f>VLOOKUP(Q10,manual_tool_change_table[#All],4,FALSE)</f>
        <v>0</v>
      </c>
      <c r="W10" s="40">
        <f>IF(O10="No",F10*'Action Time'!$D$37,0)</f>
        <v>0</v>
      </c>
      <c r="X10" s="41">
        <f>VLOOKUP(T10,manipulation_table[#All],4,FALSE)</f>
        <v>0</v>
      </c>
      <c r="Y10" s="41">
        <f>(VLOOKUP(S10,position_table[#All],4,FALSE)*F10)+(IF(S10='Action Time'!$A$3,0.36,0))+(IF(S10='Action Time'!$A$6,0.36,0))+(IF(S10='Action Time'!$A$8,'Action Time'!$D$8,0))+(IF(S10='Action Time'!$A$9,'Action Time'!$D$9,0))</f>
        <v>1.44</v>
      </c>
      <c r="Z10" s="40">
        <f>VLOOKUP(E10,Connectors_Table[#All],4,FALSE)*F10</f>
        <v>0.72</v>
      </c>
      <c r="AA10" s="41">
        <f>VLOOKUP(U10,removal_table[#All],4,FALSE)</f>
        <v>1.44</v>
      </c>
      <c r="AB10" s="40">
        <f t="shared" si="0"/>
        <v>3.6</v>
      </c>
      <c r="AC10" s="40">
        <f>IF(N10="No", ,VLOOKUP(R10,robot_action_table[#All],2,FALSE))</f>
        <v>0</v>
      </c>
      <c r="AD10" s="40">
        <f>IF(N10="Yes",VLOOKUP("Robot traversal",robot_action_table[#All],2,FALSE),0)</f>
        <v>0</v>
      </c>
      <c r="AE10" s="40">
        <f>IF(N10="No",,VLOOKUP(T10,manipulation_table[#All],5,FALSE))</f>
        <v>0</v>
      </c>
      <c r="AF10" s="41">
        <f>IF(N10="No",,(VLOOKUP(S10,position_table[#All],5,FALSE)*F10))</f>
        <v>0</v>
      </c>
      <c r="AG10" s="41">
        <f>IF(N10="No",,VLOOKUP(E10,Connectors_Table[#All],6,FALSE)*F10)</f>
        <v>0</v>
      </c>
      <c r="AH10" s="41">
        <f>IF(N10="Yes",IF(U10="No removal",0,VLOOKUP("Object removal",robot_action_table[],2,FALSE)),0)</f>
        <v>0</v>
      </c>
      <c r="AI10" s="41">
        <f t="shared" si="1"/>
        <v>0</v>
      </c>
      <c r="AJ10" s="41">
        <f t="shared" si="2"/>
        <v>3.6</v>
      </c>
      <c r="AK10" s="42">
        <f>IF(OR(AND(AJ9=0,AJ10&lt;&gt;0),AND(AJ10=0,AJ9&lt;&gt;0)),VLOOKUP("Task Changeover time",robot_action_table[#All],2,FALSE),0)</f>
        <v>0</v>
      </c>
      <c r="AL10" s="56"/>
      <c r="AM10" s="56"/>
    </row>
    <row r="11" spans="1:39" ht="28.65" customHeight="1" x14ac:dyDescent="0.3">
      <c r="A11" s="66">
        <v>7</v>
      </c>
      <c r="B11" s="67" t="s">
        <v>277</v>
      </c>
      <c r="C11" s="70" t="s">
        <v>278</v>
      </c>
      <c r="D11" s="66" t="s">
        <v>271</v>
      </c>
      <c r="E11" s="66" t="s">
        <v>108</v>
      </c>
      <c r="F11" s="66">
        <v>6</v>
      </c>
      <c r="G11" s="68" t="s">
        <v>260</v>
      </c>
      <c r="H11" s="68">
        <v>200</v>
      </c>
      <c r="I11" s="68">
        <v>120</v>
      </c>
      <c r="J11" s="68">
        <v>18</v>
      </c>
      <c r="K11" s="68">
        <v>5</v>
      </c>
      <c r="L11" s="68">
        <v>20</v>
      </c>
      <c r="M11" s="68" t="s">
        <v>262</v>
      </c>
      <c r="N11" s="68" t="s">
        <v>262</v>
      </c>
      <c r="O11" s="66" t="s">
        <v>260</v>
      </c>
      <c r="P11" s="66" t="s">
        <v>262</v>
      </c>
      <c r="Q11" s="66" t="s">
        <v>43</v>
      </c>
      <c r="R11" s="66" t="s">
        <v>44</v>
      </c>
      <c r="S11" s="66" t="s">
        <v>36</v>
      </c>
      <c r="T11" s="66" t="s">
        <v>37</v>
      </c>
      <c r="U11" s="66" t="s">
        <v>41</v>
      </c>
      <c r="V11" s="40">
        <f>VLOOKUP(Q11,manual_tool_change_table[#All],4,FALSE)</f>
        <v>0</v>
      </c>
      <c r="W11" s="40">
        <f>IF(O11="No",F11*'Action Time'!$D$37,0)</f>
        <v>0</v>
      </c>
      <c r="X11" s="41">
        <f>VLOOKUP(T11,manipulation_table[#All],4,FALSE)</f>
        <v>0</v>
      </c>
      <c r="Y11" s="41">
        <f>(VLOOKUP(S11,position_table[#All],4,FALSE)*F11)+(IF(S11='Action Time'!$A$3,0.36,0))+(IF(S11='Action Time'!$A$6,0.36,0))+(IF(S11='Action Time'!$A$8,'Action Time'!$D$8,0))+(IF(S11='Action Time'!$A$9,'Action Time'!$D$9,0))</f>
        <v>8.64</v>
      </c>
      <c r="Z11" s="40">
        <f>VLOOKUP(E11,Connectors_Table[#All],4,FALSE)*F11</f>
        <v>4.32</v>
      </c>
      <c r="AA11" s="41">
        <f>VLOOKUP(U11,removal_table[#All],4,FALSE)</f>
        <v>3.2399999999999998</v>
      </c>
      <c r="AB11" s="40">
        <f t="shared" si="0"/>
        <v>16.2</v>
      </c>
      <c r="AC11" s="40">
        <f>IF(N11="No", ,VLOOKUP(R11,robot_action_table[#All],2,FALSE))</f>
        <v>0</v>
      </c>
      <c r="AD11" s="40">
        <f>IF(N11="Yes",VLOOKUP("Robot traversal",robot_action_table[#All],2,FALSE),0)</f>
        <v>0</v>
      </c>
      <c r="AE11" s="40">
        <f>IF(N11="No",,VLOOKUP(T11,manipulation_table[#All],5,FALSE))</f>
        <v>0</v>
      </c>
      <c r="AF11" s="41">
        <f>IF(N11="No",,(VLOOKUP(S11,position_table[#All],5,FALSE)*F11))</f>
        <v>0</v>
      </c>
      <c r="AG11" s="41">
        <f>IF(N11="No",,VLOOKUP(E11,Connectors_Table[#All],6,FALSE)*F11)</f>
        <v>0</v>
      </c>
      <c r="AH11" s="41">
        <f>IF(N11="Yes",IF(U11="No removal",0,VLOOKUP("Object removal",robot_action_table[],2,FALSE)),0)</f>
        <v>0</v>
      </c>
      <c r="AI11" s="41">
        <f t="shared" si="1"/>
        <v>0</v>
      </c>
      <c r="AJ11" s="41">
        <f t="shared" si="2"/>
        <v>16.2</v>
      </c>
      <c r="AK11" s="42">
        <f>IF(OR(AND(AJ10=0,AJ11&lt;&gt;0),AND(AJ11=0,AJ10&lt;&gt;0)),VLOOKUP("Task Changeover time",robot_action_table[#All],2,FALSE),0)</f>
        <v>0</v>
      </c>
      <c r="AL11" s="56"/>
      <c r="AM11" s="56"/>
    </row>
    <row r="12" spans="1:39" ht="33.65" customHeight="1" x14ac:dyDescent="0.3">
      <c r="A12" s="102" t="s">
        <v>47</v>
      </c>
      <c r="B12" s="102"/>
      <c r="C12" s="102"/>
      <c r="D12" s="102"/>
      <c r="E12" s="102"/>
      <c r="F12" s="102"/>
      <c r="G12" s="102"/>
      <c r="H12" s="102"/>
      <c r="I12" s="102"/>
      <c r="J12" s="102"/>
      <c r="K12" s="102"/>
      <c r="L12" s="102"/>
      <c r="M12" s="102"/>
      <c r="N12" s="102"/>
      <c r="O12" s="102"/>
      <c r="P12" s="102"/>
      <c r="Q12" s="102"/>
      <c r="R12" s="102"/>
      <c r="S12" s="102"/>
      <c r="T12" s="102"/>
      <c r="U12" s="102"/>
      <c r="V12" s="43">
        <f t="shared" ref="V12:AK12" si="3">SUM(V5:V11)</f>
        <v>2.16</v>
      </c>
      <c r="W12" s="43">
        <f t="shared" si="3"/>
        <v>0</v>
      </c>
      <c r="X12" s="43">
        <f t="shared" si="3"/>
        <v>3.5999999999999996</v>
      </c>
      <c r="Y12" s="43">
        <f t="shared" si="3"/>
        <v>31.680000000000003</v>
      </c>
      <c r="Z12" s="43">
        <f t="shared" si="3"/>
        <v>14.04</v>
      </c>
      <c r="AA12" s="43">
        <f t="shared" si="3"/>
        <v>12.24</v>
      </c>
      <c r="AB12" s="44">
        <f t="shared" si="3"/>
        <v>63.72</v>
      </c>
      <c r="AC12" s="43">
        <f t="shared" si="3"/>
        <v>28</v>
      </c>
      <c r="AD12" s="43">
        <f t="shared" si="3"/>
        <v>9</v>
      </c>
      <c r="AE12" s="43">
        <f t="shared" si="3"/>
        <v>0</v>
      </c>
      <c r="AF12" s="43">
        <f t="shared" si="3"/>
        <v>32</v>
      </c>
      <c r="AG12" s="43">
        <f t="shared" si="3"/>
        <v>0</v>
      </c>
      <c r="AH12" s="43">
        <f t="shared" si="3"/>
        <v>18</v>
      </c>
      <c r="AI12" s="44">
        <f t="shared" si="3"/>
        <v>87</v>
      </c>
      <c r="AJ12" s="44">
        <f t="shared" si="3"/>
        <v>31.32</v>
      </c>
      <c r="AK12" s="44">
        <f t="shared" si="3"/>
        <v>6</v>
      </c>
      <c r="AL12" s="56"/>
      <c r="AM12" s="56"/>
    </row>
    <row r="13" spans="1:39" ht="13.75" customHeight="1" x14ac:dyDescent="0.3">
      <c r="A13" s="45"/>
      <c r="B13" s="46"/>
      <c r="C13" s="47"/>
      <c r="D13" s="47"/>
      <c r="E13" s="48"/>
      <c r="F13" s="48"/>
      <c r="G13" s="48"/>
      <c r="H13" s="48"/>
      <c r="I13" s="48"/>
      <c r="J13" s="48"/>
      <c r="K13" s="48"/>
      <c r="L13" s="48"/>
      <c r="M13" s="48"/>
      <c r="N13" s="48"/>
      <c r="O13" s="48"/>
      <c r="P13" s="48"/>
      <c r="Q13" s="48"/>
      <c r="R13" s="48"/>
      <c r="S13" s="48"/>
      <c r="T13" s="48"/>
      <c r="U13" s="48"/>
      <c r="V13" s="48"/>
      <c r="W13" s="48"/>
      <c r="X13" s="48"/>
      <c r="Y13" s="49"/>
      <c r="Z13" s="48"/>
      <c r="AA13" s="48"/>
      <c r="AB13" s="48"/>
      <c r="AC13" s="103" t="s">
        <v>48</v>
      </c>
      <c r="AD13" s="103"/>
      <c r="AE13" s="103"/>
      <c r="AF13" s="103"/>
      <c r="AG13" s="103"/>
      <c r="AH13" s="103"/>
      <c r="AI13" s="104">
        <f>((AI12+AK12)/(VLOOKUP("Cost factor - n (#)",robot_parameter_table[#All],2,FALSE)))+AJ12</f>
        <v>77.819999999999993</v>
      </c>
      <c r="AJ13" s="104"/>
      <c r="AK13" s="104"/>
      <c r="AL13" s="118"/>
      <c r="AM13" s="118"/>
    </row>
    <row r="14" spans="1:39" x14ac:dyDescent="0.3">
      <c r="A14" s="45"/>
      <c r="B14" s="46"/>
      <c r="C14" s="47"/>
      <c r="D14" s="47"/>
      <c r="E14" s="48"/>
      <c r="F14" s="48"/>
      <c r="G14" s="48"/>
      <c r="H14" s="48"/>
      <c r="I14" s="48"/>
      <c r="J14" s="48"/>
      <c r="K14" s="48"/>
      <c r="L14" s="48"/>
      <c r="M14" s="48"/>
      <c r="N14" s="48"/>
      <c r="O14" s="48"/>
      <c r="P14" s="48"/>
      <c r="Q14" s="48"/>
      <c r="R14" s="48"/>
      <c r="S14" s="48"/>
      <c r="T14" s="48"/>
      <c r="U14" s="48"/>
      <c r="V14" s="48"/>
      <c r="W14" s="48"/>
      <c r="X14" s="48"/>
      <c r="Y14" s="48"/>
      <c r="Z14" s="48"/>
      <c r="AA14" s="48"/>
      <c r="AB14" s="48"/>
      <c r="AC14" s="103"/>
      <c r="AD14" s="103"/>
      <c r="AE14" s="103"/>
      <c r="AF14" s="103"/>
      <c r="AG14" s="103"/>
      <c r="AH14" s="103"/>
      <c r="AI14" s="104"/>
      <c r="AJ14" s="104"/>
      <c r="AK14" s="104"/>
      <c r="AL14" s="118"/>
      <c r="AM14" s="118"/>
    </row>
    <row r="15" spans="1:39" x14ac:dyDescent="0.3">
      <c r="A15" s="45"/>
      <c r="B15" s="46"/>
      <c r="C15" s="47"/>
      <c r="D15" s="47"/>
      <c r="E15" s="48"/>
      <c r="F15" s="48"/>
      <c r="G15" s="48"/>
      <c r="H15" s="48"/>
      <c r="I15" s="48"/>
      <c r="J15" s="48"/>
      <c r="K15" s="48"/>
      <c r="L15" s="48"/>
      <c r="M15" s="48"/>
      <c r="N15" s="48"/>
      <c r="O15" s="48"/>
      <c r="P15" s="48"/>
      <c r="Q15" s="48"/>
      <c r="R15" s="48"/>
      <c r="S15" s="48"/>
      <c r="T15" s="48"/>
      <c r="U15" s="48"/>
      <c r="V15" s="48"/>
      <c r="W15" s="48"/>
      <c r="X15" s="48"/>
      <c r="Y15" s="49"/>
      <c r="Z15" s="48"/>
      <c r="AA15" s="48"/>
      <c r="AB15" s="48"/>
      <c r="AC15" s="103" t="s">
        <v>253</v>
      </c>
      <c r="AD15" s="103"/>
      <c r="AE15" s="103"/>
      <c r="AF15" s="103"/>
      <c r="AG15" s="103"/>
      <c r="AH15" s="103"/>
      <c r="AI15" s="104">
        <f>MIN(AB12,AI13)</f>
        <v>63.72</v>
      </c>
      <c r="AJ15" s="104"/>
      <c r="AK15" s="104"/>
      <c r="AL15" s="118"/>
      <c r="AM15" s="118"/>
    </row>
    <row r="16" spans="1:39" x14ac:dyDescent="0.3">
      <c r="A16" s="45"/>
      <c r="B16" s="46"/>
      <c r="C16" s="47"/>
      <c r="D16" s="47"/>
      <c r="E16" s="48"/>
      <c r="F16" s="48"/>
      <c r="G16" s="48"/>
      <c r="H16" s="48"/>
      <c r="I16" s="48"/>
      <c r="J16" s="48"/>
      <c r="K16" s="48"/>
      <c r="L16" s="48"/>
      <c r="M16" s="48"/>
      <c r="N16" s="48"/>
      <c r="O16" s="48"/>
      <c r="P16" s="48"/>
      <c r="Q16" s="48"/>
      <c r="R16" s="48"/>
      <c r="S16" s="48"/>
      <c r="T16" s="48"/>
      <c r="U16" s="48"/>
      <c r="V16" s="48"/>
      <c r="W16" s="48"/>
      <c r="X16" s="48"/>
      <c r="Y16" s="49"/>
      <c r="Z16" s="48"/>
      <c r="AA16" s="48"/>
      <c r="AB16" s="48"/>
      <c r="AC16" s="103"/>
      <c r="AD16" s="103"/>
      <c r="AE16" s="103"/>
      <c r="AF16" s="103"/>
      <c r="AG16" s="103"/>
      <c r="AH16" s="103"/>
      <c r="AI16" s="104"/>
      <c r="AJ16" s="104"/>
      <c r="AK16" s="104"/>
      <c r="AL16" s="118"/>
      <c r="AM16" s="118"/>
    </row>
    <row r="20" spans="30:30" x14ac:dyDescent="0.3">
      <c r="AD20" s="10"/>
    </row>
  </sheetData>
  <dataConsolidate/>
  <mergeCells count="51">
    <mergeCell ref="A1:D1"/>
    <mergeCell ref="E1:G1"/>
    <mergeCell ref="H1:AK1"/>
    <mergeCell ref="A2:F2"/>
    <mergeCell ref="G2:N2"/>
    <mergeCell ref="O2:U2"/>
    <mergeCell ref="V2:AB2"/>
    <mergeCell ref="AC2:AI2"/>
    <mergeCell ref="AJ2:AK2"/>
    <mergeCell ref="A12:U12"/>
    <mergeCell ref="D3:D4"/>
    <mergeCell ref="E3:E4"/>
    <mergeCell ref="M3:M4"/>
    <mergeCell ref="N3:N4"/>
    <mergeCell ref="O3:O4"/>
    <mergeCell ref="F3:F4"/>
    <mergeCell ref="G3:G4"/>
    <mergeCell ref="H3:H4"/>
    <mergeCell ref="I3:I4"/>
    <mergeCell ref="A3:A4"/>
    <mergeCell ref="B3:B4"/>
    <mergeCell ref="C3:C4"/>
    <mergeCell ref="J3:L3"/>
    <mergeCell ref="S3:S4"/>
    <mergeCell ref="T3:T4"/>
    <mergeCell ref="AC15:AH16"/>
    <mergeCell ref="AI15:AK16"/>
    <mergeCell ref="AL15:AM16"/>
    <mergeCell ref="AE3:AE4"/>
    <mergeCell ref="AF3:AF4"/>
    <mergeCell ref="AG3:AG4"/>
    <mergeCell ref="AH3:AH4"/>
    <mergeCell ref="AI3:AI4"/>
    <mergeCell ref="AJ3:AJ4"/>
    <mergeCell ref="AC3:AC4"/>
    <mergeCell ref="AD3:AD4"/>
    <mergeCell ref="AL2:AM4"/>
    <mergeCell ref="AK3:AK4"/>
    <mergeCell ref="AC13:AH14"/>
    <mergeCell ref="AI13:AK14"/>
    <mergeCell ref="AL13:AM14"/>
    <mergeCell ref="Y3:Y4"/>
    <mergeCell ref="Z3:Z4"/>
    <mergeCell ref="AA3:AA4"/>
    <mergeCell ref="AB3:AB4"/>
    <mergeCell ref="X3:X4"/>
    <mergeCell ref="U3:U4"/>
    <mergeCell ref="V3:V4"/>
    <mergeCell ref="W3:W4"/>
    <mergeCell ref="P3:P4"/>
    <mergeCell ref="Q3:R3"/>
  </mergeCells>
  <conditionalFormatting sqref="G5:G11">
    <cfRule type="containsText" dxfId="6" priority="7" operator="containsText" text="No">
      <formula>NOT(ISERROR(SEARCH("No",G5)))</formula>
    </cfRule>
  </conditionalFormatting>
  <conditionalFormatting sqref="J5:L11">
    <cfRule type="cellIs" dxfId="3" priority="6" operator="equal">
      <formula>0</formula>
    </cfRule>
  </conditionalFormatting>
  <conditionalFormatting sqref="M5:N11">
    <cfRule type="containsText" dxfId="2" priority="3" operator="containsText" text="No">
      <formula>NOT(ISERROR(SEARCH("No",M5)))</formula>
    </cfRule>
  </conditionalFormatting>
  <conditionalFormatting sqref="AB5:AB11">
    <cfRule type="top10" dxfId="1" priority="2" rank="3"/>
  </conditionalFormatting>
  <conditionalFormatting sqref="AI5:AI11">
    <cfRule type="top10" dxfId="0" priority="1" rank="3"/>
  </conditionalFormatting>
  <dataValidations count="9">
    <dataValidation type="list" allowBlank="1" showInputMessage="1" showErrorMessage="1" sqref="U5:U11" xr:uid="{2FA5ED40-4D0C-454F-AB96-103DAE2C9607}">
      <formula1>removal_type</formula1>
    </dataValidation>
    <dataValidation type="list" allowBlank="1" showInputMessage="1" showErrorMessage="1" sqref="G5:G11 N5:P11 M8" xr:uid="{2EB7CBBB-E314-49B8-AC7B-5C1E3DB35034}">
      <formula1>"Yes,No"</formula1>
    </dataValidation>
    <dataValidation type="list" allowBlank="1" showInputMessage="1" showErrorMessage="1" sqref="R5:R6" xr:uid="{B934D43B-7167-4E5E-83FD-6269A85248F5}">
      <formula1>"No Tool Change,Tool Change,Two Tool Changes"</formula1>
    </dataValidation>
    <dataValidation type="list" allowBlank="1" showInputMessage="1" showErrorMessage="1" sqref="M9:M11 M5:M7" xr:uid="{6467C1C0-F6D1-4B52-82EA-9223CC8F9E71}">
      <formula1>"Yes,No,N/A"</formula1>
    </dataValidation>
    <dataValidation type="list" allowBlank="1" showInputMessage="1" showErrorMessage="1" sqref="T5:T11" xr:uid="{7C4E2A90-9C4B-41AD-92EC-225502E965AF}">
      <formula1>manipulation_type</formula1>
    </dataValidation>
    <dataValidation type="list" allowBlank="1" showInputMessage="1" showErrorMessage="1" sqref="E5:E11" xr:uid="{0190CF48-F49C-4AA8-A3A7-AAB6A3A54C20}">
      <formula1>Connector_list</formula1>
    </dataValidation>
    <dataValidation type="list" allowBlank="1" showInputMessage="1" showErrorMessage="1" sqref="Q5:Q11" xr:uid="{203AD73D-AD16-4DA6-B43B-E80146E2AE74}">
      <formula1>manual_tool_change</formula1>
    </dataValidation>
    <dataValidation type="list" allowBlank="1" showInputMessage="1" showErrorMessage="1" sqref="R7:R11" xr:uid="{E26CDC38-DEEE-48CB-8D8B-EC3F530C35F7}">
      <formula1>"No Tool Change, Tool Change, Two Tool Changes"</formula1>
    </dataValidation>
    <dataValidation type="list" allowBlank="1" showInputMessage="1" showErrorMessage="1" sqref="S10:S11 S5:S8" xr:uid="{8F7B6F37-C776-46DB-9BA4-63C26179A582}">
      <formula1>positioning_type</formula1>
    </dataValidation>
  </dataValidations>
  <pageMargins left="0.25" right="0.25" top="0.75" bottom="0.75" header="0.3" footer="0.3"/>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5" id="{A90883EB-A304-498E-9616-DB1BB8DB62EF}">
            <xm:f>AND(ISNUMBER(H5),H5&gt;'Action Time'!$B$67)</xm:f>
            <x14:dxf>
              <font>
                <color rgb="FFFF0000"/>
              </font>
            </x14:dxf>
          </x14:cfRule>
          <xm:sqref>H5:H11</xm:sqref>
        </x14:conditionalFormatting>
        <x14:conditionalFormatting xmlns:xm="http://schemas.microsoft.com/office/excel/2006/main">
          <x14:cfRule type="expression" priority="4" id="{0BF30A08-1B45-4F08-900D-1E3254F713B1}">
            <xm:f>AND(ISNUMBER(I5),I5&gt;'Action Time'!$B$68)</xm:f>
            <x14:dxf>
              <font>
                <color rgb="FFFF0000"/>
              </font>
            </x14:dxf>
          </x14:cfRule>
          <xm:sqref>I5:I11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15AF6-618C-49AA-BC29-081C57ED8BD1}">
  <sheetPr>
    <tabColor rgb="FFA9EFC6"/>
  </sheetPr>
  <dimension ref="A1:I80"/>
  <sheetViews>
    <sheetView topLeftCell="A32" zoomScale="72" zoomScaleNormal="70" workbookViewId="0">
      <selection activeCell="A73" sqref="A73:A76"/>
    </sheetView>
  </sheetViews>
  <sheetFormatPr defaultRowHeight="14.5" x14ac:dyDescent="0.35"/>
  <cols>
    <col min="1" max="1" width="39.90625" bestFit="1" customWidth="1"/>
    <col min="2" max="2" width="22.54296875" customWidth="1"/>
    <col min="3" max="3" width="19.54296875" customWidth="1"/>
    <col min="4" max="4" width="20.453125" bestFit="1" customWidth="1"/>
    <col min="5" max="5" width="8.453125" customWidth="1"/>
    <col min="6" max="6" width="20.453125" customWidth="1"/>
    <col min="7" max="7" width="18.90625" customWidth="1"/>
    <col min="8" max="8" width="167.08984375" customWidth="1"/>
    <col min="9" max="9" width="13.54296875" customWidth="1"/>
    <col min="11" max="11" width="17.453125" bestFit="1" customWidth="1"/>
    <col min="12" max="12" width="37.54296875" bestFit="1" customWidth="1"/>
  </cols>
  <sheetData>
    <row r="1" spans="1:9" ht="29" x14ac:dyDescent="0.35">
      <c r="A1" s="1" t="s">
        <v>49</v>
      </c>
      <c r="B1" s="2" t="s">
        <v>50</v>
      </c>
      <c r="C1" s="2" t="s">
        <v>51</v>
      </c>
      <c r="D1" s="3" t="s">
        <v>52</v>
      </c>
      <c r="E1" s="3" t="s">
        <v>53</v>
      </c>
      <c r="F1" s="3" t="s">
        <v>54</v>
      </c>
      <c r="G1" s="3" t="s">
        <v>258</v>
      </c>
      <c r="H1" s="2" t="s">
        <v>55</v>
      </c>
    </row>
    <row r="2" spans="1:9" x14ac:dyDescent="0.35">
      <c r="A2" s="13" t="s">
        <v>42</v>
      </c>
      <c r="B2" s="14"/>
      <c r="C2" s="14">
        <v>0</v>
      </c>
      <c r="D2" s="15">
        <v>0</v>
      </c>
      <c r="E2" s="16"/>
      <c r="F2" s="15"/>
      <c r="G2" s="17"/>
      <c r="H2" s="18" t="s">
        <v>56</v>
      </c>
      <c r="I2" s="19"/>
    </row>
    <row r="3" spans="1:9" x14ac:dyDescent="0.35">
      <c r="A3" s="20" t="s">
        <v>57</v>
      </c>
      <c r="B3" s="14" t="s">
        <v>58</v>
      </c>
      <c r="C3" s="14">
        <f>6*10</f>
        <v>60</v>
      </c>
      <c r="D3" s="15">
        <f>C3*0.036</f>
        <v>2.1599999999999997</v>
      </c>
      <c r="E3" s="16">
        <v>3</v>
      </c>
      <c r="F3" s="21">
        <f>(60*E3)/(VLOOKUP("Unscrewing speed (rpm)",robot_parameter_table[#All],2,FALSE))</f>
        <v>1.8</v>
      </c>
      <c r="G3" s="17"/>
      <c r="H3" s="18" t="s">
        <v>319</v>
      </c>
      <c r="I3" s="19"/>
    </row>
    <row r="4" spans="1:9" x14ac:dyDescent="0.35">
      <c r="A4" s="20" t="s">
        <v>59</v>
      </c>
      <c r="B4" s="14" t="s">
        <v>60</v>
      </c>
      <c r="C4" s="14">
        <f>16*10</f>
        <v>160</v>
      </c>
      <c r="D4" s="15">
        <f>C4*0.036</f>
        <v>5.76</v>
      </c>
      <c r="E4" s="22">
        <v>9</v>
      </c>
      <c r="F4" s="21">
        <f>(60*E4)/(VLOOKUP("Unscrewing speed (rpm)",robot_parameter_table[#All],2,FALSE))</f>
        <v>5.4</v>
      </c>
      <c r="G4" s="23"/>
      <c r="H4" s="18" t="s">
        <v>56</v>
      </c>
      <c r="I4" s="19"/>
    </row>
    <row r="5" spans="1:9" x14ac:dyDescent="0.35">
      <c r="A5" s="20" t="s">
        <v>61</v>
      </c>
      <c r="B5" s="14" t="s">
        <v>62</v>
      </c>
      <c r="C5" s="14">
        <f t="shared" ref="C5" si="0">10*10</f>
        <v>100</v>
      </c>
      <c r="D5" s="15">
        <f>C5*0.036</f>
        <v>3.5999999999999996</v>
      </c>
      <c r="E5" s="22">
        <v>5</v>
      </c>
      <c r="F5" s="21">
        <f>(60*E5)/(VLOOKUP("Unscrewing speed (rpm)",robot_parameter_table[#All],2,FALSE))</f>
        <v>3</v>
      </c>
      <c r="G5" s="23"/>
      <c r="H5" s="18"/>
      <c r="I5" s="19"/>
    </row>
    <row r="6" spans="1:9" x14ac:dyDescent="0.35">
      <c r="A6" s="18" t="s">
        <v>63</v>
      </c>
      <c r="B6" s="14" t="s">
        <v>62</v>
      </c>
      <c r="C6" s="14">
        <f>10*10</f>
        <v>100</v>
      </c>
      <c r="D6" s="21">
        <f>C6*0.036</f>
        <v>3.5999999999999996</v>
      </c>
      <c r="E6" s="22">
        <v>8</v>
      </c>
      <c r="F6" s="21">
        <f>(60*E6)/(VLOOKUP("Unscrewing speed (rpm)",robot_parameter_table[#All],2,FALSE))</f>
        <v>4.8</v>
      </c>
      <c r="G6" s="17"/>
      <c r="H6" s="18"/>
      <c r="I6" s="19"/>
    </row>
    <row r="7" spans="1:9" x14ac:dyDescent="0.35">
      <c r="A7" s="18" t="s">
        <v>64</v>
      </c>
      <c r="B7" s="14" t="s">
        <v>65</v>
      </c>
      <c r="C7" s="14">
        <f>24*10</f>
        <v>240</v>
      </c>
      <c r="D7" s="21">
        <f t="shared" ref="D7" si="1">C7*0.036</f>
        <v>8.6399999999999988</v>
      </c>
      <c r="E7" s="22">
        <v>11</v>
      </c>
      <c r="F7" s="21">
        <f>(60*E7)/(VLOOKUP("Unscrewing speed (rpm)",robot_parameter_table[#All],2,FALSE))</f>
        <v>6.6</v>
      </c>
      <c r="G7" s="17"/>
      <c r="H7" s="18"/>
      <c r="I7" s="19"/>
    </row>
    <row r="8" spans="1:9" x14ac:dyDescent="0.35">
      <c r="A8" s="23" t="s">
        <v>66</v>
      </c>
      <c r="B8" s="14" t="s">
        <v>65</v>
      </c>
      <c r="C8" s="14">
        <f>24*10</f>
        <v>240</v>
      </c>
      <c r="D8" s="21">
        <f>C8*0.036</f>
        <v>8.6399999999999988</v>
      </c>
      <c r="E8" s="22">
        <v>9</v>
      </c>
      <c r="F8" s="21">
        <f>(60*E8)/(VLOOKUP("Unscrewing speed (rpm)",robot_parameter_table[#All],2,FALSE))</f>
        <v>5.4</v>
      </c>
      <c r="G8" s="17"/>
      <c r="H8" s="23" t="s">
        <v>67</v>
      </c>
      <c r="I8" s="19"/>
    </row>
    <row r="9" spans="1:9" x14ac:dyDescent="0.35">
      <c r="A9" s="23" t="s">
        <v>68</v>
      </c>
      <c r="B9" s="14" t="s">
        <v>69</v>
      </c>
      <c r="C9" s="24">
        <f>32*10</f>
        <v>320</v>
      </c>
      <c r="D9" s="21">
        <f>C9*0.036</f>
        <v>11.52</v>
      </c>
      <c r="E9" s="22">
        <v>14</v>
      </c>
      <c r="F9" s="21">
        <f>(60*E9)/(VLOOKUP("Unscrewing speed (rpm)",robot_parameter_table[#All],2,FALSE))</f>
        <v>8.4</v>
      </c>
      <c r="G9" s="17"/>
      <c r="H9" s="18" t="s">
        <v>70</v>
      </c>
      <c r="I9" s="19"/>
    </row>
    <row r="10" spans="1:9" x14ac:dyDescent="0.35">
      <c r="A10" s="23" t="s">
        <v>71</v>
      </c>
      <c r="B10" s="14" t="s">
        <v>72</v>
      </c>
      <c r="C10" s="24">
        <v>420</v>
      </c>
      <c r="D10" s="21">
        <f t="shared" ref="D10" si="2">C10*0.036</f>
        <v>15.12</v>
      </c>
      <c r="E10" s="22">
        <v>16</v>
      </c>
      <c r="F10" s="21">
        <f>(60*E10)/(VLOOKUP("Unscrewing speed (rpm)",robot_parameter_table[#All],2,FALSE))</f>
        <v>9.6</v>
      </c>
      <c r="G10" s="17"/>
      <c r="H10" s="23" t="s">
        <v>73</v>
      </c>
      <c r="I10" s="19"/>
    </row>
    <row r="11" spans="1:9" x14ac:dyDescent="0.35">
      <c r="A11" s="23" t="s">
        <v>74</v>
      </c>
      <c r="B11" s="14" t="s">
        <v>72</v>
      </c>
      <c r="C11" s="24">
        <f>42*10</f>
        <v>420</v>
      </c>
      <c r="D11" s="21">
        <f>C11*0.036</f>
        <v>15.12</v>
      </c>
      <c r="E11" s="22">
        <v>20</v>
      </c>
      <c r="F11" s="21">
        <f>(60*E11)/(VLOOKUP("Unscrewing speed (rpm)",robot_parameter_table[#All],2,FALSE))</f>
        <v>12</v>
      </c>
      <c r="G11" s="17"/>
      <c r="H11" s="23" t="s">
        <v>75</v>
      </c>
      <c r="I11" s="19"/>
    </row>
    <row r="12" spans="1:9" x14ac:dyDescent="0.35">
      <c r="A12" s="23" t="s">
        <v>76</v>
      </c>
      <c r="B12" s="14" t="s">
        <v>60</v>
      </c>
      <c r="C12" s="24">
        <v>160</v>
      </c>
      <c r="D12" s="21">
        <f>C12*0.036</f>
        <v>5.76</v>
      </c>
      <c r="E12" s="22">
        <v>8</v>
      </c>
      <c r="F12" s="21">
        <f>(60*E12)/(VLOOKUP("Unscrewing speed (rpm)",robot_parameter_table[#All],2,FALSE))</f>
        <v>4.8</v>
      </c>
      <c r="G12" s="17"/>
      <c r="H12" s="23" t="s">
        <v>77</v>
      </c>
      <c r="I12" s="19"/>
    </row>
    <row r="13" spans="1:9" x14ac:dyDescent="0.35">
      <c r="A13" s="23" t="s">
        <v>33</v>
      </c>
      <c r="B13" s="14" t="s">
        <v>69</v>
      </c>
      <c r="C13" s="24">
        <f>32*10</f>
        <v>320</v>
      </c>
      <c r="D13" s="21">
        <f>C13*0.036</f>
        <v>11.52</v>
      </c>
      <c r="E13" s="22">
        <v>14</v>
      </c>
      <c r="F13" s="21">
        <f>(60*E13)/(VLOOKUP("Unscrewing speed (rpm)",robot_parameter_table[#All],2,FALSE))</f>
        <v>8.4</v>
      </c>
      <c r="G13" s="17"/>
      <c r="H13" s="18" t="s">
        <v>70</v>
      </c>
      <c r="I13" s="19"/>
    </row>
    <row r="14" spans="1:9" x14ac:dyDescent="0.35">
      <c r="A14" s="23" t="s">
        <v>78</v>
      </c>
      <c r="B14" s="14" t="s">
        <v>72</v>
      </c>
      <c r="C14" s="24">
        <f>42*10</f>
        <v>420</v>
      </c>
      <c r="D14" s="21">
        <f>C14*0.036</f>
        <v>15.12</v>
      </c>
      <c r="E14" s="22">
        <v>17</v>
      </c>
      <c r="F14" s="21">
        <f>(60*E14)/(VLOOKUP("Unscrewing speed (rpm)",robot_parameter_table[#All],2,FALSE))</f>
        <v>10.199999999999999</v>
      </c>
      <c r="G14" s="17"/>
      <c r="H14" s="18" t="s">
        <v>79</v>
      </c>
      <c r="I14" s="19"/>
    </row>
    <row r="15" spans="1:9" x14ac:dyDescent="0.35">
      <c r="A15" s="23" t="s">
        <v>80</v>
      </c>
      <c r="B15" s="14" t="s">
        <v>81</v>
      </c>
      <c r="C15" s="24">
        <v>540</v>
      </c>
      <c r="D15" s="21">
        <f t="shared" ref="D15" si="3">C15*0.036</f>
        <v>19.439999999999998</v>
      </c>
      <c r="E15" s="22">
        <v>20</v>
      </c>
      <c r="F15" s="21">
        <f>(60*E15)/(VLOOKUP("Unscrewing speed (rpm)",robot_parameter_table[#All],2,FALSE))</f>
        <v>12</v>
      </c>
      <c r="G15" s="17"/>
      <c r="H15" s="23" t="s">
        <v>75</v>
      </c>
      <c r="I15" s="19"/>
    </row>
    <row r="16" spans="1:9" x14ac:dyDescent="0.35">
      <c r="A16" s="23" t="s">
        <v>82</v>
      </c>
      <c r="B16" s="14" t="s">
        <v>83</v>
      </c>
      <c r="C16" s="14">
        <v>960</v>
      </c>
      <c r="D16" s="21">
        <f>C16*0.036</f>
        <v>34.559999999999995</v>
      </c>
      <c r="E16" s="22">
        <v>38</v>
      </c>
      <c r="F16" s="21">
        <f>(60*E16)/(VLOOKUP("Unscrewing speed (rpm)",robot_parameter_table[#All],2,FALSE))</f>
        <v>22.8</v>
      </c>
      <c r="G16" s="17"/>
      <c r="H16" s="18" t="s">
        <v>84</v>
      </c>
      <c r="I16" s="19"/>
    </row>
    <row r="17" spans="1:9" x14ac:dyDescent="0.35">
      <c r="A17" s="23" t="s">
        <v>85</v>
      </c>
      <c r="B17" s="14" t="s">
        <v>86</v>
      </c>
      <c r="C17" s="24">
        <v>640</v>
      </c>
      <c r="D17" s="21">
        <f t="shared" ref="D17" si="4">C17*0.036</f>
        <v>23.04</v>
      </c>
      <c r="E17" s="22">
        <v>25</v>
      </c>
      <c r="F17" s="21">
        <f>(60*E17)/(VLOOKUP("Unscrewing speed (rpm)",robot_parameter_table[#All],2,FALSE))</f>
        <v>15</v>
      </c>
      <c r="G17" s="17"/>
      <c r="H17" s="23" t="s">
        <v>87</v>
      </c>
      <c r="I17" s="19"/>
    </row>
    <row r="18" spans="1:9" x14ac:dyDescent="0.35">
      <c r="A18" s="23" t="s">
        <v>88</v>
      </c>
      <c r="B18" s="14" t="s">
        <v>58</v>
      </c>
      <c r="C18" s="24">
        <f>6*10</f>
        <v>60</v>
      </c>
      <c r="D18" s="21">
        <f>C18*0.036</f>
        <v>2.1599999999999997</v>
      </c>
      <c r="E18" s="22">
        <v>3</v>
      </c>
      <c r="F18" s="21">
        <f>(60*E18)/(VLOOKUP("Unscrewing speed (rpm)",robot_parameter_table[#All],2,FALSE))</f>
        <v>1.8</v>
      </c>
      <c r="G18" s="17"/>
      <c r="H18" s="23" t="s">
        <v>89</v>
      </c>
      <c r="I18" s="19"/>
    </row>
    <row r="19" spans="1:9" x14ac:dyDescent="0.35">
      <c r="A19" s="23" t="s">
        <v>90</v>
      </c>
      <c r="B19" s="14" t="s">
        <v>58</v>
      </c>
      <c r="C19" s="24">
        <f>6*10</f>
        <v>60</v>
      </c>
      <c r="D19" s="21">
        <f t="shared" ref="D19" si="5">C19*0.036</f>
        <v>2.1599999999999997</v>
      </c>
      <c r="E19" s="22">
        <v>3</v>
      </c>
      <c r="F19" s="21">
        <f>(60*E19)/(VLOOKUP("Unscrewing speed (rpm)",robot_parameter_table[#All],2,FALSE))</f>
        <v>1.8</v>
      </c>
      <c r="G19" s="17"/>
      <c r="H19" s="23" t="s">
        <v>89</v>
      </c>
      <c r="I19" s="19"/>
    </row>
    <row r="20" spans="1:9" ht="16.399999999999999" customHeight="1" x14ac:dyDescent="0.35">
      <c r="A20" s="20" t="s">
        <v>91</v>
      </c>
      <c r="B20" s="14" t="s">
        <v>92</v>
      </c>
      <c r="C20" s="14">
        <f>1*10</f>
        <v>10</v>
      </c>
      <c r="D20" s="15">
        <f t="shared" ref="D20:D23" si="6">C20*0.036</f>
        <v>0.36</v>
      </c>
      <c r="E20" s="16"/>
      <c r="F20" s="15">
        <f>VLOOKUP("Two finger gripper grasping action (Low stroke) (s)",robot_parameter_table[#All],2,FALSE)</f>
        <v>3</v>
      </c>
      <c r="G20" s="25"/>
      <c r="H20" s="19" t="s">
        <v>93</v>
      </c>
      <c r="I20" s="19"/>
    </row>
    <row r="21" spans="1:9" x14ac:dyDescent="0.35">
      <c r="A21" s="20" t="s">
        <v>94</v>
      </c>
      <c r="B21" s="14" t="s">
        <v>95</v>
      </c>
      <c r="C21" s="14">
        <f>2*10</f>
        <v>20</v>
      </c>
      <c r="D21" s="15">
        <f t="shared" si="6"/>
        <v>0.72</v>
      </c>
      <c r="E21" s="16"/>
      <c r="F21" s="15"/>
      <c r="G21" s="17"/>
      <c r="H21" s="18" t="s">
        <v>96</v>
      </c>
      <c r="I21" s="19"/>
    </row>
    <row r="22" spans="1:9" x14ac:dyDescent="0.35">
      <c r="A22" s="20" t="s">
        <v>97</v>
      </c>
      <c r="B22" s="14" t="s">
        <v>98</v>
      </c>
      <c r="C22" s="14">
        <f>1*10</f>
        <v>10</v>
      </c>
      <c r="D22" s="15">
        <f>C22*0.036</f>
        <v>0.36</v>
      </c>
      <c r="E22" s="16"/>
      <c r="F22" s="15"/>
      <c r="G22" s="26"/>
      <c r="H22" s="18" t="s">
        <v>99</v>
      </c>
      <c r="I22" s="19"/>
    </row>
    <row r="23" spans="1:9" x14ac:dyDescent="0.35">
      <c r="A23" s="20" t="s">
        <v>100</v>
      </c>
      <c r="B23" s="14" t="s">
        <v>92</v>
      </c>
      <c r="C23" s="14">
        <f>1*10</f>
        <v>10</v>
      </c>
      <c r="D23" s="15">
        <f t="shared" si="6"/>
        <v>0.36</v>
      </c>
      <c r="E23" s="16"/>
      <c r="F23" s="15"/>
      <c r="G23" s="26"/>
      <c r="H23" s="18" t="s">
        <v>101</v>
      </c>
      <c r="I23" s="19"/>
    </row>
    <row r="24" spans="1:9" x14ac:dyDescent="0.35">
      <c r="A24" s="20" t="s">
        <v>102</v>
      </c>
      <c r="B24" s="14" t="s">
        <v>92</v>
      </c>
      <c r="C24" s="14">
        <f>1*10</f>
        <v>10</v>
      </c>
      <c r="D24" s="15">
        <f t="shared" ref="D24" si="7">C24*0.036</f>
        <v>0.36</v>
      </c>
      <c r="E24" s="16"/>
      <c r="F24" s="15"/>
      <c r="G24" s="17"/>
      <c r="H24" s="18" t="s">
        <v>56</v>
      </c>
      <c r="I24" s="19"/>
    </row>
    <row r="25" spans="1:9" x14ac:dyDescent="0.35">
      <c r="A25" s="18" t="s">
        <v>103</v>
      </c>
      <c r="B25" s="14" t="s">
        <v>104</v>
      </c>
      <c r="C25" s="14">
        <f>3*10</f>
        <v>30</v>
      </c>
      <c r="D25" s="15">
        <f t="shared" ref="D25" si="8">C25*0.036</f>
        <v>1.0799999999999998</v>
      </c>
      <c r="E25" s="16"/>
      <c r="F25" s="15"/>
      <c r="G25" s="26"/>
      <c r="H25" s="18" t="s">
        <v>105</v>
      </c>
      <c r="I25" s="19"/>
    </row>
    <row r="26" spans="1:9" x14ac:dyDescent="0.35">
      <c r="A26" s="20" t="s">
        <v>106</v>
      </c>
      <c r="B26" s="14" t="s">
        <v>92</v>
      </c>
      <c r="C26" s="14">
        <f>1*10</f>
        <v>10</v>
      </c>
      <c r="D26" s="15">
        <f t="shared" ref="D26" si="9">C26*0.036</f>
        <v>0.36</v>
      </c>
      <c r="E26" s="16"/>
      <c r="F26" s="15"/>
      <c r="G26" s="17"/>
      <c r="H26" s="18" t="s">
        <v>56</v>
      </c>
      <c r="I26" s="19"/>
    </row>
    <row r="27" spans="1:9" x14ac:dyDescent="0.35">
      <c r="A27" s="23" t="s">
        <v>107</v>
      </c>
      <c r="B27" s="14" t="s">
        <v>92</v>
      </c>
      <c r="C27" s="14">
        <f>1*10</f>
        <v>10</v>
      </c>
      <c r="D27" s="15">
        <f t="shared" ref="D27:D30" si="10">C27*0.036</f>
        <v>0.36</v>
      </c>
      <c r="E27" s="22"/>
      <c r="F27" s="21"/>
      <c r="G27" s="27"/>
      <c r="H27" s="18" t="s">
        <v>56</v>
      </c>
      <c r="I27" s="19"/>
    </row>
    <row r="28" spans="1:9" x14ac:dyDescent="0.35">
      <c r="A28" s="28" t="s">
        <v>108</v>
      </c>
      <c r="B28" s="14" t="s">
        <v>95</v>
      </c>
      <c r="C28" s="14">
        <f>2*10</f>
        <v>20</v>
      </c>
      <c r="D28" s="15">
        <f t="shared" si="10"/>
        <v>0.72</v>
      </c>
      <c r="E28" s="22"/>
      <c r="F28" s="29">
        <f>VLOOKUP("Two finger gripper grasping action (Low stroke) (s)",robot_parameter_table[#All],2,FALSE)</f>
        <v>3</v>
      </c>
      <c r="G28" s="23"/>
      <c r="H28" s="18" t="s">
        <v>109</v>
      </c>
      <c r="I28" s="19"/>
    </row>
    <row r="29" spans="1:9" x14ac:dyDescent="0.35">
      <c r="A29" s="18" t="s">
        <v>110</v>
      </c>
      <c r="B29" s="14" t="s">
        <v>104</v>
      </c>
      <c r="C29" s="14">
        <f>3*10</f>
        <v>30</v>
      </c>
      <c r="D29" s="15">
        <f>C29*0.036</f>
        <v>1.0799999999999998</v>
      </c>
      <c r="E29" s="22"/>
      <c r="F29" s="21"/>
      <c r="G29" s="30"/>
      <c r="H29" s="18" t="s">
        <v>111</v>
      </c>
      <c r="I29" s="19"/>
    </row>
    <row r="30" spans="1:9" x14ac:dyDescent="0.35">
      <c r="A30" s="18" t="s">
        <v>112</v>
      </c>
      <c r="B30" s="14" t="s">
        <v>104</v>
      </c>
      <c r="C30" s="14">
        <f>3*10</f>
        <v>30</v>
      </c>
      <c r="D30" s="15">
        <f t="shared" si="10"/>
        <v>1.0799999999999998</v>
      </c>
      <c r="E30" s="22"/>
      <c r="F30" s="21"/>
      <c r="G30" s="30"/>
      <c r="H30" s="18" t="s">
        <v>105</v>
      </c>
      <c r="I30" s="19"/>
    </row>
    <row r="31" spans="1:9" x14ac:dyDescent="0.35">
      <c r="A31" s="18" t="s">
        <v>113</v>
      </c>
      <c r="B31" s="14" t="s">
        <v>104</v>
      </c>
      <c r="C31" s="14">
        <f>3*10</f>
        <v>30</v>
      </c>
      <c r="D31" s="15">
        <f t="shared" ref="D31" si="11">C31*0.036</f>
        <v>1.0799999999999998</v>
      </c>
      <c r="E31" s="22"/>
      <c r="F31" s="21"/>
      <c r="G31" s="30"/>
      <c r="H31" s="18" t="s">
        <v>105</v>
      </c>
      <c r="I31" s="19"/>
    </row>
    <row r="32" spans="1:9" x14ac:dyDescent="0.35">
      <c r="A32" s="18" t="s">
        <v>114</v>
      </c>
      <c r="B32" s="14" t="s">
        <v>92</v>
      </c>
      <c r="C32" s="14">
        <f>1*10</f>
        <v>10</v>
      </c>
      <c r="D32" s="15">
        <f>C32*0.036</f>
        <v>0.36</v>
      </c>
      <c r="E32" s="22"/>
      <c r="F32" s="21"/>
      <c r="G32" s="17"/>
      <c r="H32" s="18" t="s">
        <v>96</v>
      </c>
      <c r="I32" s="19"/>
    </row>
    <row r="33" spans="1:9" x14ac:dyDescent="0.35">
      <c r="A33" s="18" t="s">
        <v>115</v>
      </c>
      <c r="B33" s="14" t="s">
        <v>58</v>
      </c>
      <c r="C33" s="14">
        <f>6*10</f>
        <v>60</v>
      </c>
      <c r="D33" s="15">
        <f>C33*0.036</f>
        <v>2.1599999999999997</v>
      </c>
      <c r="E33" s="22"/>
      <c r="F33" s="21"/>
      <c r="G33" s="17"/>
      <c r="H33" s="18" t="s">
        <v>96</v>
      </c>
      <c r="I33" s="19"/>
    </row>
    <row r="34" spans="1:9" x14ac:dyDescent="0.35">
      <c r="A34" s="23" t="s">
        <v>39</v>
      </c>
      <c r="B34" s="24" t="s">
        <v>116</v>
      </c>
      <c r="C34" s="24">
        <f>(7+(10*2))*10</f>
        <v>270</v>
      </c>
      <c r="D34" s="21">
        <f>C34*0.036</f>
        <v>9.7199999999999989</v>
      </c>
      <c r="E34" s="22"/>
      <c r="F34" s="21">
        <f>VLOOKUP("Two finger high stroke gripper with pneumatic muscles (s)",robot_parameter_table[#All],2,FALSE)</f>
        <v>10</v>
      </c>
      <c r="G34" s="17"/>
      <c r="H34" s="23" t="s">
        <v>117</v>
      </c>
      <c r="I34" s="19"/>
    </row>
    <row r="35" spans="1:9" x14ac:dyDescent="0.35">
      <c r="A35" s="20" t="s">
        <v>118</v>
      </c>
      <c r="B35" s="14" t="s">
        <v>62</v>
      </c>
      <c r="C35" s="14">
        <f t="shared" ref="C35" si="12">10*10</f>
        <v>100</v>
      </c>
      <c r="D35" s="15">
        <f t="shared" ref="D35" si="13">C35*0.036</f>
        <v>3.5999999999999996</v>
      </c>
      <c r="E35" s="16"/>
      <c r="F35" s="21"/>
      <c r="G35" s="17"/>
      <c r="H35" s="18" t="s">
        <v>119</v>
      </c>
      <c r="I35" s="19"/>
    </row>
    <row r="36" spans="1:9" x14ac:dyDescent="0.35">
      <c r="A36" s="20" t="s">
        <v>120</v>
      </c>
      <c r="B36" s="14"/>
      <c r="C36" s="14"/>
      <c r="D36" s="15"/>
      <c r="E36" s="31"/>
      <c r="F36" s="21"/>
      <c r="G36" s="17"/>
      <c r="H36" s="18" t="s">
        <v>121</v>
      </c>
      <c r="I36" s="19"/>
    </row>
    <row r="37" spans="1:9" x14ac:dyDescent="0.35">
      <c r="A37" s="20" t="s">
        <v>122</v>
      </c>
      <c r="B37" s="14" t="s">
        <v>62</v>
      </c>
      <c r="C37" s="14">
        <f t="shared" ref="C37" si="14">10*10</f>
        <v>100</v>
      </c>
      <c r="D37" s="15">
        <f>C37*0.036</f>
        <v>3.5999999999999996</v>
      </c>
      <c r="E37" s="16"/>
      <c r="F37" s="15"/>
      <c r="G37" s="17"/>
      <c r="H37" s="18" t="s">
        <v>123</v>
      </c>
      <c r="I37" s="19"/>
    </row>
    <row r="38" spans="1:9" x14ac:dyDescent="0.35">
      <c r="A38" s="20" t="s">
        <v>124</v>
      </c>
      <c r="B38" s="14" t="s">
        <v>58</v>
      </c>
      <c r="C38" s="14">
        <f>6*10</f>
        <v>60</v>
      </c>
      <c r="D38" s="15">
        <f t="shared" ref="D38:D66" si="15">C38*0.036</f>
        <v>2.1599999999999997</v>
      </c>
      <c r="E38" s="16"/>
      <c r="F38" s="15"/>
      <c r="G38" s="17"/>
      <c r="H38" s="32" t="s">
        <v>125</v>
      </c>
      <c r="I38" s="19"/>
    </row>
    <row r="39" spans="1:9" x14ac:dyDescent="0.35">
      <c r="A39" s="18" t="s">
        <v>126</v>
      </c>
      <c r="B39" s="14" t="s">
        <v>58</v>
      </c>
      <c r="C39" s="14">
        <f>6*10</f>
        <v>60</v>
      </c>
      <c r="D39" s="15">
        <f t="shared" si="15"/>
        <v>2.1599999999999997</v>
      </c>
      <c r="E39" s="22">
        <v>2</v>
      </c>
      <c r="F39" s="21">
        <f>(60*E39)/(VLOOKUP("Unscrewing speed (rpm)",robot_parameter_table[#All],2,FALSE))</f>
        <v>1.2</v>
      </c>
      <c r="G39" s="33"/>
      <c r="H39" s="18"/>
      <c r="I39" s="19"/>
    </row>
    <row r="40" spans="1:9" x14ac:dyDescent="0.35">
      <c r="A40" s="18" t="s">
        <v>127</v>
      </c>
      <c r="B40" s="14" t="s">
        <v>58</v>
      </c>
      <c r="C40" s="14">
        <f>6*10</f>
        <v>60</v>
      </c>
      <c r="D40" s="15">
        <f t="shared" si="15"/>
        <v>2.1599999999999997</v>
      </c>
      <c r="E40" s="22">
        <v>3</v>
      </c>
      <c r="F40" s="21">
        <f>(60*E40)/(VLOOKUP("Unscrewing speed (rpm)",robot_parameter_table[#All],2,FALSE))</f>
        <v>1.8</v>
      </c>
      <c r="G40" s="33"/>
      <c r="H40" s="18"/>
      <c r="I40" s="19"/>
    </row>
    <row r="41" spans="1:9" x14ac:dyDescent="0.35">
      <c r="A41" s="18" t="s">
        <v>128</v>
      </c>
      <c r="B41" s="14" t="s">
        <v>62</v>
      </c>
      <c r="C41" s="14">
        <f t="shared" ref="C41:C42" si="16">10*10</f>
        <v>100</v>
      </c>
      <c r="D41" s="15">
        <f t="shared" si="15"/>
        <v>3.5999999999999996</v>
      </c>
      <c r="E41" s="22">
        <v>4</v>
      </c>
      <c r="F41" s="21">
        <f>(60*E41)/(VLOOKUP("Unscrewing speed (rpm)",robot_parameter_table[#All],2,FALSE))</f>
        <v>2.4</v>
      </c>
      <c r="G41" s="33"/>
      <c r="H41" s="18"/>
      <c r="I41" s="19"/>
    </row>
    <row r="42" spans="1:9" x14ac:dyDescent="0.35">
      <c r="A42" s="18" t="s">
        <v>129</v>
      </c>
      <c r="B42" s="14" t="s">
        <v>62</v>
      </c>
      <c r="C42" s="14">
        <f t="shared" si="16"/>
        <v>100</v>
      </c>
      <c r="D42" s="15">
        <f t="shared" si="15"/>
        <v>3.5999999999999996</v>
      </c>
      <c r="E42" s="22">
        <v>5</v>
      </c>
      <c r="F42" s="21">
        <f>(60*E42)/(VLOOKUP("Unscrewing speed (rpm)",robot_parameter_table[#All],2,FALSE))</f>
        <v>3</v>
      </c>
      <c r="G42" s="33"/>
      <c r="H42" s="18"/>
      <c r="I42" s="19"/>
    </row>
    <row r="43" spans="1:9" x14ac:dyDescent="0.35">
      <c r="A43" s="18" t="s">
        <v>130</v>
      </c>
      <c r="B43" s="14" t="s">
        <v>60</v>
      </c>
      <c r="C43" s="14">
        <f>16*10</f>
        <v>160</v>
      </c>
      <c r="D43" s="15">
        <f t="shared" si="15"/>
        <v>5.76</v>
      </c>
      <c r="E43" s="22">
        <v>6</v>
      </c>
      <c r="F43" s="21">
        <f>(60*E43)/(VLOOKUP("Unscrewing speed (rpm)",robot_parameter_table[#All],2,FALSE))</f>
        <v>3.6</v>
      </c>
      <c r="G43" s="33"/>
      <c r="H43" s="18"/>
      <c r="I43" s="19"/>
    </row>
    <row r="44" spans="1:9" x14ac:dyDescent="0.35">
      <c r="A44" s="18" t="s">
        <v>131</v>
      </c>
      <c r="B44" s="14" t="s">
        <v>60</v>
      </c>
      <c r="C44" s="14">
        <f t="shared" ref="C44:C46" si="17">16*10</f>
        <v>160</v>
      </c>
      <c r="D44" s="15">
        <f t="shared" si="15"/>
        <v>5.76</v>
      </c>
      <c r="E44" s="22">
        <v>7</v>
      </c>
      <c r="F44" s="21">
        <f>(60*E44)/(VLOOKUP("Unscrewing speed (rpm)",robot_parameter_table[#All],2,FALSE))</f>
        <v>4.2</v>
      </c>
      <c r="G44" s="33"/>
      <c r="H44" s="18"/>
      <c r="I44" s="19"/>
    </row>
    <row r="45" spans="1:9" x14ac:dyDescent="0.35">
      <c r="A45" s="18" t="s">
        <v>132</v>
      </c>
      <c r="B45" s="14" t="s">
        <v>60</v>
      </c>
      <c r="C45" s="14">
        <f t="shared" si="17"/>
        <v>160</v>
      </c>
      <c r="D45" s="15">
        <f t="shared" si="15"/>
        <v>5.76</v>
      </c>
      <c r="E45" s="22">
        <v>8</v>
      </c>
      <c r="F45" s="21">
        <f>(60*E45)/(VLOOKUP("Unscrewing speed (rpm)",robot_parameter_table[#All],2,FALSE))</f>
        <v>4.8</v>
      </c>
      <c r="G45" s="33"/>
      <c r="H45" s="18"/>
      <c r="I45" s="19"/>
    </row>
    <row r="46" spans="1:9" x14ac:dyDescent="0.35">
      <c r="A46" s="18" t="s">
        <v>133</v>
      </c>
      <c r="B46" s="14" t="s">
        <v>60</v>
      </c>
      <c r="C46" s="14">
        <f t="shared" si="17"/>
        <v>160</v>
      </c>
      <c r="D46" s="15">
        <f t="shared" si="15"/>
        <v>5.76</v>
      </c>
      <c r="E46" s="22">
        <v>9</v>
      </c>
      <c r="F46" s="21">
        <f>(60*E46)/(VLOOKUP("Unscrewing speed (rpm)",robot_parameter_table[#All],2,FALSE))</f>
        <v>5.4</v>
      </c>
      <c r="G46" s="33"/>
      <c r="H46" s="18"/>
      <c r="I46" s="19"/>
    </row>
    <row r="47" spans="1:9" x14ac:dyDescent="0.35">
      <c r="A47" s="18" t="s">
        <v>134</v>
      </c>
      <c r="B47" s="14" t="s">
        <v>65</v>
      </c>
      <c r="C47" s="14">
        <f>24*10</f>
        <v>240</v>
      </c>
      <c r="D47" s="15">
        <f t="shared" si="15"/>
        <v>8.6399999999999988</v>
      </c>
      <c r="E47" s="22">
        <v>10</v>
      </c>
      <c r="F47" s="21">
        <f>(60*E47)/(VLOOKUP("Unscrewing speed (rpm)",robot_parameter_table[#All],2,FALSE))</f>
        <v>6</v>
      </c>
      <c r="G47" s="33"/>
      <c r="H47" s="18"/>
      <c r="I47" s="19"/>
    </row>
    <row r="48" spans="1:9" x14ac:dyDescent="0.35">
      <c r="A48" s="18" t="s">
        <v>135</v>
      </c>
      <c r="B48" s="14" t="s">
        <v>65</v>
      </c>
      <c r="C48" s="14">
        <f t="shared" ref="C48:C50" si="18">24*10</f>
        <v>240</v>
      </c>
      <c r="D48" s="15">
        <f t="shared" si="15"/>
        <v>8.6399999999999988</v>
      </c>
      <c r="E48" s="22">
        <v>11</v>
      </c>
      <c r="F48" s="21">
        <f>(60*E48)/(VLOOKUP("Unscrewing speed (rpm)",robot_parameter_table[#All],2,FALSE))</f>
        <v>6.6</v>
      </c>
      <c r="G48" s="33"/>
      <c r="H48" s="18"/>
      <c r="I48" s="19"/>
    </row>
    <row r="49" spans="1:9" x14ac:dyDescent="0.35">
      <c r="A49" s="18" t="s">
        <v>136</v>
      </c>
      <c r="B49" s="14" t="s">
        <v>65</v>
      </c>
      <c r="C49" s="14">
        <f t="shared" si="18"/>
        <v>240</v>
      </c>
      <c r="D49" s="15">
        <f t="shared" si="15"/>
        <v>8.6399999999999988</v>
      </c>
      <c r="E49" s="22">
        <v>12</v>
      </c>
      <c r="F49" s="21">
        <f>(60*E49)/(VLOOKUP("Unscrewing speed (rpm)",robot_parameter_table[#All],2,FALSE))</f>
        <v>7.2</v>
      </c>
      <c r="G49" s="33"/>
      <c r="H49" s="18"/>
      <c r="I49" s="19"/>
    </row>
    <row r="50" spans="1:9" x14ac:dyDescent="0.35">
      <c r="A50" s="18" t="s">
        <v>137</v>
      </c>
      <c r="B50" s="14" t="s">
        <v>65</v>
      </c>
      <c r="C50" s="14">
        <f t="shared" si="18"/>
        <v>240</v>
      </c>
      <c r="D50" s="15">
        <f t="shared" si="15"/>
        <v>8.6399999999999988</v>
      </c>
      <c r="E50" s="22">
        <v>13</v>
      </c>
      <c r="F50" s="21">
        <f>(60*E50)/(VLOOKUP("Unscrewing speed (rpm)",robot_parameter_table[#All],2,FALSE))</f>
        <v>7.8</v>
      </c>
      <c r="G50" s="33"/>
      <c r="H50" s="18"/>
      <c r="I50" s="19"/>
    </row>
    <row r="51" spans="1:9" x14ac:dyDescent="0.35">
      <c r="A51" s="18" t="s">
        <v>138</v>
      </c>
      <c r="B51" s="14" t="s">
        <v>69</v>
      </c>
      <c r="C51" s="14">
        <f>32*10</f>
        <v>320</v>
      </c>
      <c r="D51" s="15">
        <f t="shared" si="15"/>
        <v>11.52</v>
      </c>
      <c r="E51" s="22">
        <v>14</v>
      </c>
      <c r="F51" s="21">
        <f>(60*E51)/(VLOOKUP("Unscrewing speed (rpm)",robot_parameter_table[#All],2,FALSE))</f>
        <v>8.4</v>
      </c>
      <c r="G51" s="33"/>
      <c r="H51" s="18"/>
      <c r="I51" s="19"/>
    </row>
    <row r="52" spans="1:9" x14ac:dyDescent="0.35">
      <c r="A52" s="18" t="s">
        <v>139</v>
      </c>
      <c r="B52" s="14" t="s">
        <v>69</v>
      </c>
      <c r="C52" s="14">
        <f t="shared" ref="C52:C54" si="19">32*10</f>
        <v>320</v>
      </c>
      <c r="D52" s="15">
        <f t="shared" si="15"/>
        <v>11.52</v>
      </c>
      <c r="E52" s="22">
        <v>15</v>
      </c>
      <c r="F52" s="21">
        <f>(60*E52)/(VLOOKUP("Unscrewing speed (rpm)",robot_parameter_table[#All],2,FALSE))</f>
        <v>9</v>
      </c>
      <c r="G52" s="33"/>
      <c r="H52" s="18"/>
      <c r="I52" s="19"/>
    </row>
    <row r="53" spans="1:9" x14ac:dyDescent="0.35">
      <c r="A53" s="18" t="s">
        <v>140</v>
      </c>
      <c r="B53" s="14" t="s">
        <v>69</v>
      </c>
      <c r="C53" s="14">
        <f t="shared" si="19"/>
        <v>320</v>
      </c>
      <c r="D53" s="15">
        <f t="shared" si="15"/>
        <v>11.52</v>
      </c>
      <c r="E53" s="22">
        <v>16</v>
      </c>
      <c r="F53" s="21">
        <f>(60*E53)/(VLOOKUP("Unscrewing speed (rpm)",robot_parameter_table[#All],2,FALSE))</f>
        <v>9.6</v>
      </c>
      <c r="G53" s="33"/>
      <c r="H53" s="18"/>
      <c r="I53" s="19"/>
    </row>
    <row r="54" spans="1:9" x14ac:dyDescent="0.35">
      <c r="A54" s="18" t="s">
        <v>141</v>
      </c>
      <c r="B54" s="14" t="s">
        <v>69</v>
      </c>
      <c r="C54" s="14">
        <f t="shared" si="19"/>
        <v>320</v>
      </c>
      <c r="D54" s="15">
        <f t="shared" si="15"/>
        <v>11.52</v>
      </c>
      <c r="E54" s="22">
        <v>17</v>
      </c>
      <c r="F54" s="21">
        <f>(60*E54)/(VLOOKUP("Unscrewing speed (rpm)",robot_parameter_table[#All],2,FALSE))</f>
        <v>10.199999999999999</v>
      </c>
      <c r="G54" s="33"/>
      <c r="H54" s="18"/>
      <c r="I54" s="19"/>
    </row>
    <row r="55" spans="1:9" x14ac:dyDescent="0.35">
      <c r="A55" s="18" t="s">
        <v>142</v>
      </c>
      <c r="B55" s="14" t="s">
        <v>72</v>
      </c>
      <c r="C55" s="14">
        <f>42*10</f>
        <v>420</v>
      </c>
      <c r="D55" s="15">
        <f t="shared" si="15"/>
        <v>15.12</v>
      </c>
      <c r="E55" s="22">
        <v>18</v>
      </c>
      <c r="F55" s="21">
        <f>(60*E55)/(VLOOKUP("Unscrewing speed (rpm)",robot_parameter_table[#All],2,FALSE))</f>
        <v>10.8</v>
      </c>
      <c r="G55" s="33"/>
      <c r="H55" s="18"/>
      <c r="I55" s="19"/>
    </row>
    <row r="56" spans="1:9" x14ac:dyDescent="0.35">
      <c r="A56" s="18" t="s">
        <v>143</v>
      </c>
      <c r="B56" s="14" t="s">
        <v>72</v>
      </c>
      <c r="C56" s="14">
        <f t="shared" ref="C56:C60" si="20">42*10</f>
        <v>420</v>
      </c>
      <c r="D56" s="15">
        <f t="shared" si="15"/>
        <v>15.12</v>
      </c>
      <c r="E56" s="22">
        <v>19</v>
      </c>
      <c r="F56" s="21">
        <f>(60*E56)/(VLOOKUP("Unscrewing speed (rpm)",robot_parameter_table[#All],2,FALSE))</f>
        <v>11.4</v>
      </c>
      <c r="G56" s="33"/>
      <c r="H56" s="18"/>
      <c r="I56" s="19"/>
    </row>
    <row r="57" spans="1:9" x14ac:dyDescent="0.35">
      <c r="A57" s="18" t="s">
        <v>144</v>
      </c>
      <c r="B57" s="14" t="s">
        <v>72</v>
      </c>
      <c r="C57" s="14">
        <f t="shared" si="20"/>
        <v>420</v>
      </c>
      <c r="D57" s="15">
        <f t="shared" si="15"/>
        <v>15.12</v>
      </c>
      <c r="E57" s="22">
        <v>20</v>
      </c>
      <c r="F57" s="21">
        <f>(60*E57)/(VLOOKUP("Unscrewing speed (rpm)",robot_parameter_table[#All],2,FALSE))</f>
        <v>12</v>
      </c>
      <c r="G57" s="33"/>
      <c r="H57" s="18"/>
      <c r="I57" s="19"/>
    </row>
    <row r="58" spans="1:9" x14ac:dyDescent="0.35">
      <c r="A58" s="18" t="s">
        <v>145</v>
      </c>
      <c r="B58" s="14" t="s">
        <v>72</v>
      </c>
      <c r="C58" s="14">
        <f t="shared" si="20"/>
        <v>420</v>
      </c>
      <c r="D58" s="15">
        <f t="shared" si="15"/>
        <v>15.12</v>
      </c>
      <c r="E58" s="22">
        <v>21</v>
      </c>
      <c r="F58" s="21">
        <f>(60*E58)/(VLOOKUP("Unscrewing speed (rpm)",robot_parameter_table[#All],2,FALSE))</f>
        <v>12.6</v>
      </c>
      <c r="G58" s="33"/>
      <c r="H58" s="18"/>
      <c r="I58" s="19"/>
    </row>
    <row r="59" spans="1:9" x14ac:dyDescent="0.35">
      <c r="A59" s="18" t="s">
        <v>146</v>
      </c>
      <c r="B59" s="14" t="s">
        <v>72</v>
      </c>
      <c r="C59" s="14">
        <f t="shared" si="20"/>
        <v>420</v>
      </c>
      <c r="D59" s="15">
        <f t="shared" si="15"/>
        <v>15.12</v>
      </c>
      <c r="E59" s="22">
        <v>22</v>
      </c>
      <c r="F59" s="21">
        <f>(60*E59)/(VLOOKUP("Unscrewing speed (rpm)",robot_parameter_table[#All],2,FALSE))</f>
        <v>13.2</v>
      </c>
      <c r="G59" s="33"/>
      <c r="H59" s="18"/>
      <c r="I59" s="19"/>
    </row>
    <row r="60" spans="1:9" x14ac:dyDescent="0.35">
      <c r="A60" s="18" t="s">
        <v>147</v>
      </c>
      <c r="B60" s="14" t="s">
        <v>72</v>
      </c>
      <c r="C60" s="14">
        <f t="shared" si="20"/>
        <v>420</v>
      </c>
      <c r="D60" s="15">
        <f t="shared" si="15"/>
        <v>15.12</v>
      </c>
      <c r="E60" s="22">
        <v>23</v>
      </c>
      <c r="F60" s="21">
        <f>(60*E60)/(VLOOKUP("Unscrewing speed (rpm)",robot_parameter_table[#All],2,FALSE))</f>
        <v>13.8</v>
      </c>
      <c r="G60" s="33"/>
      <c r="H60" s="18"/>
      <c r="I60" s="19"/>
    </row>
    <row r="61" spans="1:9" x14ac:dyDescent="0.35">
      <c r="A61" s="18" t="s">
        <v>148</v>
      </c>
      <c r="B61" s="14" t="s">
        <v>81</v>
      </c>
      <c r="C61" s="14">
        <f>54*10</f>
        <v>540</v>
      </c>
      <c r="D61" s="15">
        <f t="shared" si="15"/>
        <v>19.439999999999998</v>
      </c>
      <c r="E61" s="22">
        <v>24</v>
      </c>
      <c r="F61" s="21">
        <f>(60*E61)/(VLOOKUP("Unscrewing speed (rpm)",robot_parameter_table[#All],2,FALSE))</f>
        <v>14.4</v>
      </c>
      <c r="G61" s="33"/>
      <c r="H61" s="18"/>
      <c r="I61" s="19"/>
    </row>
    <row r="62" spans="1:9" x14ac:dyDescent="0.35">
      <c r="A62" s="18" t="s">
        <v>149</v>
      </c>
      <c r="B62" s="14" t="s">
        <v>81</v>
      </c>
      <c r="C62" s="14">
        <f t="shared" ref="C62:C66" si="21">54*10</f>
        <v>540</v>
      </c>
      <c r="D62" s="15">
        <f t="shared" si="15"/>
        <v>19.439999999999998</v>
      </c>
      <c r="E62" s="22">
        <v>25</v>
      </c>
      <c r="F62" s="21">
        <f>(60*E62)/(VLOOKUP("Unscrewing speed (rpm)",robot_parameter_table[#All],2,FALSE))</f>
        <v>15</v>
      </c>
      <c r="G62" s="33"/>
      <c r="H62" s="18"/>
      <c r="I62" s="19"/>
    </row>
    <row r="63" spans="1:9" x14ac:dyDescent="0.35">
      <c r="A63" s="18" t="s">
        <v>150</v>
      </c>
      <c r="B63" s="14" t="s">
        <v>81</v>
      </c>
      <c r="C63" s="14">
        <f t="shared" si="21"/>
        <v>540</v>
      </c>
      <c r="D63" s="15">
        <f t="shared" si="15"/>
        <v>19.439999999999998</v>
      </c>
      <c r="E63" s="22">
        <v>26</v>
      </c>
      <c r="F63" s="21">
        <f>(60*E63)/(VLOOKUP("Unscrewing speed (rpm)",robot_parameter_table[#All],2,FALSE))</f>
        <v>15.6</v>
      </c>
      <c r="G63" s="33"/>
      <c r="H63" s="18"/>
      <c r="I63" s="19"/>
    </row>
    <row r="64" spans="1:9" x14ac:dyDescent="0.35">
      <c r="A64" s="18" t="s">
        <v>151</v>
      </c>
      <c r="B64" s="14" t="s">
        <v>81</v>
      </c>
      <c r="C64" s="14">
        <f t="shared" si="21"/>
        <v>540</v>
      </c>
      <c r="D64" s="15">
        <f t="shared" si="15"/>
        <v>19.439999999999998</v>
      </c>
      <c r="E64" s="22">
        <v>27</v>
      </c>
      <c r="F64" s="21">
        <f>(60*E64)/(VLOOKUP("Unscrewing speed (rpm)",robot_parameter_table[#All],2,FALSE))</f>
        <v>16.2</v>
      </c>
      <c r="G64" s="33"/>
      <c r="H64" s="18"/>
      <c r="I64" s="19"/>
    </row>
    <row r="65" spans="1:9" x14ac:dyDescent="0.35">
      <c r="A65" s="18" t="s">
        <v>152</v>
      </c>
      <c r="B65" s="14" t="s">
        <v>81</v>
      </c>
      <c r="C65" s="14">
        <f t="shared" si="21"/>
        <v>540</v>
      </c>
      <c r="D65" s="15">
        <f t="shared" si="15"/>
        <v>19.439999999999998</v>
      </c>
      <c r="E65" s="22">
        <v>28</v>
      </c>
      <c r="F65" s="21">
        <f>(60*E65)/(VLOOKUP("Unscrewing speed (rpm)",robot_parameter_table[#All],2,FALSE))</f>
        <v>16.8</v>
      </c>
      <c r="G65" s="33"/>
      <c r="H65" s="18"/>
      <c r="I65" s="19"/>
    </row>
    <row r="66" spans="1:9" x14ac:dyDescent="0.35">
      <c r="A66" s="18" t="s">
        <v>153</v>
      </c>
      <c r="B66" s="14" t="s">
        <v>81</v>
      </c>
      <c r="C66" s="14">
        <f t="shared" si="21"/>
        <v>540</v>
      </c>
      <c r="D66" s="15">
        <f t="shared" si="15"/>
        <v>19.439999999999998</v>
      </c>
      <c r="E66" s="22">
        <v>29</v>
      </c>
      <c r="F66" s="21">
        <f>(60*E66)/(VLOOKUP("Unscrewing speed (rpm)",robot_parameter_table[#All],2,FALSE))</f>
        <v>17.399999999999999</v>
      </c>
      <c r="G66" s="33"/>
      <c r="H66" s="18"/>
      <c r="I66" s="19"/>
    </row>
    <row r="67" spans="1:9" x14ac:dyDescent="0.35">
      <c r="A67" s="18"/>
      <c r="B67" s="14"/>
      <c r="C67" s="14"/>
      <c r="D67" s="34"/>
      <c r="E67" s="22"/>
      <c r="F67" s="21"/>
      <c r="G67" s="33"/>
      <c r="H67" s="18"/>
      <c r="I67" s="19"/>
    </row>
    <row r="68" spans="1:9" x14ac:dyDescent="0.35">
      <c r="A68" s="18"/>
      <c r="B68" s="14"/>
      <c r="C68" s="14"/>
      <c r="D68" s="34"/>
      <c r="E68" s="22"/>
      <c r="F68" s="21"/>
      <c r="G68" s="33"/>
      <c r="H68" s="18"/>
      <c r="I68" s="19"/>
    </row>
    <row r="69" spans="1:9" x14ac:dyDescent="0.35">
      <c r="A69" s="18"/>
      <c r="B69" s="14"/>
      <c r="C69" s="14"/>
      <c r="D69" s="34"/>
      <c r="E69" s="22"/>
      <c r="F69" s="21"/>
      <c r="G69" s="33"/>
      <c r="H69" s="18"/>
      <c r="I69" s="19"/>
    </row>
    <row r="70" spans="1:9" x14ac:dyDescent="0.35">
      <c r="A70" s="18"/>
      <c r="B70" s="14"/>
      <c r="C70" s="14"/>
      <c r="D70" s="34"/>
      <c r="E70" s="22"/>
      <c r="F70" s="21"/>
      <c r="G70" s="33"/>
      <c r="H70" s="18"/>
      <c r="I70" s="19"/>
    </row>
    <row r="71" spans="1:9" x14ac:dyDescent="0.35">
      <c r="A71" s="19"/>
      <c r="B71" s="19"/>
      <c r="C71" s="19"/>
      <c r="D71" s="19"/>
      <c r="E71" s="19"/>
      <c r="F71" s="19"/>
      <c r="G71" s="19"/>
      <c r="H71" s="19"/>
      <c r="I71" s="19"/>
    </row>
    <row r="72" spans="1:9" x14ac:dyDescent="0.35">
      <c r="A72" s="65" t="s">
        <v>258</v>
      </c>
      <c r="B72" s="35"/>
      <c r="C72" s="36"/>
      <c r="D72" s="19"/>
      <c r="E72" s="19"/>
      <c r="F72" s="19"/>
      <c r="G72" s="19"/>
      <c r="H72" s="19"/>
      <c r="I72" s="19"/>
    </row>
    <row r="73" spans="1:9" x14ac:dyDescent="0.35">
      <c r="A73" s="64" t="s">
        <v>256</v>
      </c>
      <c r="B73" s="35"/>
      <c r="C73" s="37"/>
      <c r="D73" s="19"/>
      <c r="E73" s="19"/>
      <c r="F73" s="19"/>
      <c r="G73" s="19"/>
      <c r="H73" s="19"/>
      <c r="I73" s="19"/>
    </row>
    <row r="74" spans="1:9" x14ac:dyDescent="0.35">
      <c r="A74" s="64" t="s">
        <v>257</v>
      </c>
      <c r="B74" s="35"/>
      <c r="C74" s="37"/>
      <c r="D74" s="19"/>
      <c r="E74" s="19"/>
      <c r="F74" s="19"/>
      <c r="G74" s="19"/>
      <c r="H74" s="19"/>
      <c r="I74" s="19"/>
    </row>
    <row r="75" spans="1:9" x14ac:dyDescent="0.35">
      <c r="A75" s="88" t="s">
        <v>328</v>
      </c>
      <c r="B75" s="35"/>
      <c r="C75" s="37"/>
      <c r="D75" s="19"/>
      <c r="E75" s="19"/>
      <c r="F75" s="19"/>
      <c r="G75" s="19"/>
      <c r="H75" s="19"/>
      <c r="I75" s="19"/>
    </row>
    <row r="76" spans="1:9" x14ac:dyDescent="0.35">
      <c r="A76" s="87" t="s">
        <v>329</v>
      </c>
      <c r="B76" s="35"/>
      <c r="C76" s="37"/>
      <c r="D76" s="19"/>
      <c r="E76" s="19"/>
      <c r="F76" s="19"/>
      <c r="G76" s="19"/>
      <c r="H76" s="19"/>
      <c r="I76" s="19"/>
    </row>
    <row r="77" spans="1:9" x14ac:dyDescent="0.35">
      <c r="B77" s="11"/>
      <c r="C77" s="9"/>
    </row>
    <row r="78" spans="1:9" x14ac:dyDescent="0.35">
      <c r="B78" s="11"/>
      <c r="C78" s="9"/>
    </row>
    <row r="79" spans="1:9" x14ac:dyDescent="0.35">
      <c r="B79" s="11"/>
      <c r="C79" s="9"/>
    </row>
    <row r="80" spans="1:9" x14ac:dyDescent="0.35">
      <c r="B80" s="11"/>
      <c r="C80" s="9"/>
    </row>
  </sheetData>
  <phoneticPr fontId="2" type="noConversion"/>
  <dataValidations count="1">
    <dataValidation type="list" allowBlank="1" showInputMessage="1" showErrorMessage="1" sqref="A34:A35" xr:uid="{ADC71733-1AB4-469A-9C67-18A76146C0B2}">
      <formula1>Connector_list</formula1>
    </dataValidation>
  </dataValidations>
  <pageMargins left="0.7" right="0.7" top="0.75" bottom="0.75" header="0.3" footer="0.3"/>
  <pageSetup paperSize="9" orientation="portrait" r:id="rId1"/>
  <ignoredErrors>
    <ignoredError sqref="C20:C22 C23"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51E9-896A-4188-99EA-874FA15C184D}">
  <sheetPr>
    <tabColor rgb="FFA9EFC6"/>
  </sheetPr>
  <dimension ref="A1:F87"/>
  <sheetViews>
    <sheetView zoomScale="70" zoomScaleNormal="70" workbookViewId="0">
      <selection activeCell="E66" sqref="E66"/>
    </sheetView>
  </sheetViews>
  <sheetFormatPr defaultColWidth="8.90625" defaultRowHeight="14.5" x14ac:dyDescent="0.35"/>
  <cols>
    <col min="1" max="1" width="60.54296875" style="80" customWidth="1"/>
    <col min="2" max="2" width="58.81640625" style="80" customWidth="1"/>
    <col min="3" max="3" width="15.453125" style="80" bestFit="1" customWidth="1"/>
    <col min="4" max="4" width="16.453125" style="80" bestFit="1" customWidth="1"/>
    <col min="5" max="5" width="33.08984375" style="80" customWidth="1"/>
    <col min="6" max="6" width="68.1796875" style="80" bestFit="1" customWidth="1"/>
    <col min="7" max="16384" width="8.90625" style="75"/>
  </cols>
  <sheetData>
    <row r="1" spans="1:6" x14ac:dyDescent="0.35">
      <c r="A1" s="74" t="s">
        <v>154</v>
      </c>
      <c r="B1" s="74" t="s">
        <v>155</v>
      </c>
      <c r="C1" s="74" t="s">
        <v>156</v>
      </c>
      <c r="D1" s="74" t="s">
        <v>157</v>
      </c>
      <c r="E1" s="74" t="s">
        <v>54</v>
      </c>
      <c r="F1" s="74" t="s">
        <v>55</v>
      </c>
    </row>
    <row r="2" spans="1:6" x14ac:dyDescent="0.35">
      <c r="A2" s="76" t="s">
        <v>158</v>
      </c>
      <c r="B2" s="77" t="s">
        <v>159</v>
      </c>
      <c r="C2" s="77">
        <f>4*10</f>
        <v>40</v>
      </c>
      <c r="D2" s="78">
        <f t="shared" ref="D2:D4" si="0">C2*0.036</f>
        <v>1.44</v>
      </c>
      <c r="E2" s="78">
        <f>VLOOKUP("Light positioning time (s)",robot_parameter_table[#All],2,FALSE)</f>
        <v>2</v>
      </c>
      <c r="F2" s="79"/>
    </row>
    <row r="3" spans="1:6" x14ac:dyDescent="0.35">
      <c r="A3" s="76" t="s">
        <v>160</v>
      </c>
      <c r="B3" s="77" t="s">
        <v>161</v>
      </c>
      <c r="C3" s="77">
        <f>3*10</f>
        <v>30</v>
      </c>
      <c r="D3" s="78">
        <f t="shared" si="0"/>
        <v>1.0799999999999998</v>
      </c>
      <c r="E3" s="78">
        <f>VLOOKUP("Light positioning time (s)",robot_parameter_table[#All],2,FALSE)+VLOOKUP("Positioning connector distance &lt; 5cm",robot_action_table[#All],2,FALSE)</f>
        <v>2.5</v>
      </c>
      <c r="F3" s="79" t="s">
        <v>162</v>
      </c>
    </row>
    <row r="4" spans="1:6" x14ac:dyDescent="0.35">
      <c r="A4" s="76" t="s">
        <v>36</v>
      </c>
      <c r="B4" s="77" t="s">
        <v>163</v>
      </c>
      <c r="C4" s="77">
        <f>4*10</f>
        <v>40</v>
      </c>
      <c r="D4" s="78">
        <f t="shared" si="0"/>
        <v>1.44</v>
      </c>
      <c r="E4" s="78">
        <f>VLOOKUP("Light positioning time (s)",robot_parameter_table[#All],2,FALSE)+VLOOKUP("Positioning connector distance &gt; 5cm",robot_action_table[#All],2,FALSE)</f>
        <v>4</v>
      </c>
      <c r="F4" s="79"/>
    </row>
    <row r="5" spans="1:6" x14ac:dyDescent="0.35">
      <c r="A5" s="76" t="s">
        <v>164</v>
      </c>
      <c r="B5" s="77" t="s">
        <v>165</v>
      </c>
      <c r="C5" s="77">
        <f>7*10</f>
        <v>70</v>
      </c>
      <c r="D5" s="78">
        <f>C5*0.036</f>
        <v>2.52</v>
      </c>
      <c r="E5" s="78">
        <f>VLOOKUP("Care positioning time (s)",robot_parameter_table[#All],2,FALSE)</f>
        <v>4</v>
      </c>
      <c r="F5" s="79"/>
    </row>
    <row r="6" spans="1:6" x14ac:dyDescent="0.35">
      <c r="A6" s="76" t="s">
        <v>166</v>
      </c>
      <c r="B6" s="77" t="s">
        <v>167</v>
      </c>
      <c r="C6" s="77">
        <f>6*10</f>
        <v>60</v>
      </c>
      <c r="D6" s="78">
        <f t="shared" ref="D6:D8" si="1">C6*0.036</f>
        <v>2.1599999999999997</v>
      </c>
      <c r="E6" s="78">
        <f>VLOOKUP("Care positioning time (s)",robot_parameter_table[#All],2,FALSE)+VLOOKUP("Positioning connector distance &lt; 5cm",robot_action_table[#All],2,FALSE)</f>
        <v>4.5</v>
      </c>
      <c r="F6" s="79" t="s">
        <v>162</v>
      </c>
    </row>
    <row r="7" spans="1:6" x14ac:dyDescent="0.35">
      <c r="A7" s="76" t="s">
        <v>40</v>
      </c>
      <c r="B7" s="77" t="s">
        <v>168</v>
      </c>
      <c r="C7" s="77">
        <f>7*10</f>
        <v>70</v>
      </c>
      <c r="D7" s="78">
        <f t="shared" si="1"/>
        <v>2.52</v>
      </c>
      <c r="E7" s="78">
        <f>VLOOKUP("Care positioning time (s)",robot_parameter_table[#All],2,FALSE)+VLOOKUP("Positioning connector distance &gt; 5cm",robot_action_table[#All],2,FALSE)</f>
        <v>6</v>
      </c>
      <c r="F7" s="79"/>
    </row>
    <row r="8" spans="1:6" x14ac:dyDescent="0.35">
      <c r="A8" s="76" t="s">
        <v>45</v>
      </c>
      <c r="B8" s="77" t="s">
        <v>159</v>
      </c>
      <c r="C8" s="77">
        <f>4*10</f>
        <v>40</v>
      </c>
      <c r="D8" s="78">
        <f t="shared" si="1"/>
        <v>1.44</v>
      </c>
      <c r="E8" s="78">
        <f>VLOOKUP("Light positioning time (s)",robot_parameter_table[#All],2,FALSE)</f>
        <v>2</v>
      </c>
      <c r="F8" s="79"/>
    </row>
    <row r="9" spans="1:6" x14ac:dyDescent="0.35">
      <c r="A9" s="76" t="s">
        <v>169</v>
      </c>
      <c r="B9" s="77" t="s">
        <v>165</v>
      </c>
      <c r="C9" s="77">
        <f>7*10</f>
        <v>70</v>
      </c>
      <c r="D9" s="78">
        <f>C9*0.036</f>
        <v>2.52</v>
      </c>
      <c r="E9" s="78">
        <f>VLOOKUP("Care positioning time (s)",robot_parameter_table[#All],2,FALSE)</f>
        <v>4</v>
      </c>
      <c r="F9" s="79"/>
    </row>
    <row r="10" spans="1:6" x14ac:dyDescent="0.35">
      <c r="A10" s="79"/>
      <c r="B10" s="79"/>
      <c r="C10" s="79"/>
      <c r="D10" s="79"/>
      <c r="E10" s="79"/>
      <c r="F10" s="79"/>
    </row>
    <row r="11" spans="1:6" x14ac:dyDescent="0.35">
      <c r="A11" s="79"/>
      <c r="B11" s="79"/>
      <c r="C11" s="79"/>
      <c r="D11" s="79"/>
      <c r="E11" s="79"/>
      <c r="F11" s="79"/>
    </row>
    <row r="12" spans="1:6" x14ac:dyDescent="0.35">
      <c r="A12" s="74" t="s">
        <v>170</v>
      </c>
      <c r="B12" s="74" t="s">
        <v>155</v>
      </c>
      <c r="C12" s="74" t="s">
        <v>156</v>
      </c>
      <c r="D12" s="74" t="s">
        <v>157</v>
      </c>
      <c r="E12" s="74" t="s">
        <v>54</v>
      </c>
      <c r="F12" s="74" t="s">
        <v>55</v>
      </c>
    </row>
    <row r="13" spans="1:6" x14ac:dyDescent="0.35">
      <c r="A13" s="76" t="s">
        <v>37</v>
      </c>
      <c r="B13" s="74"/>
      <c r="C13" s="77">
        <v>0</v>
      </c>
      <c r="D13" s="78">
        <f>C13*0.036</f>
        <v>0</v>
      </c>
      <c r="E13" s="78">
        <v>0</v>
      </c>
      <c r="F13" s="74"/>
    </row>
    <row r="14" spans="1:6" x14ac:dyDescent="0.35">
      <c r="A14" s="76" t="s">
        <v>171</v>
      </c>
      <c r="B14" s="77" t="s">
        <v>172</v>
      </c>
      <c r="C14" s="77">
        <f>5*10</f>
        <v>50</v>
      </c>
      <c r="D14" s="78">
        <f t="shared" ref="D14:D15" si="2">C14*0.036</f>
        <v>1.7999999999999998</v>
      </c>
      <c r="E14" s="78">
        <f>VLOOKUP("Care positioning time (s)",robot_parameter_table[#All],2,FALSE)+VLOOKUP("Two finger gripper grasping action (Low stroke) (s)",robot_parameter_table[#All],2,FALSE)+VLOOKUP("Turning action (s)",robot_parameter_table[#All],2,FALSE)+(VLOOKUP("Automatic clamping &amp; positioning  (s)",robot_parameter_table[#All],2,FALSE)*2)</f>
        <v>18</v>
      </c>
      <c r="F14" s="79"/>
    </row>
    <row r="15" spans="1:6" x14ac:dyDescent="0.35">
      <c r="A15" s="76" t="s">
        <v>173</v>
      </c>
      <c r="B15" s="77" t="s">
        <v>174</v>
      </c>
      <c r="C15" s="77">
        <f>10*10</f>
        <v>100</v>
      </c>
      <c r="D15" s="78">
        <f t="shared" si="2"/>
        <v>3.5999999999999996</v>
      </c>
      <c r="E15" s="78"/>
      <c r="F15" s="79"/>
    </row>
    <row r="16" spans="1:6" x14ac:dyDescent="0.35">
      <c r="A16" s="76" t="s">
        <v>175</v>
      </c>
      <c r="B16" s="77" t="s">
        <v>176</v>
      </c>
      <c r="C16" s="77">
        <f>6*10</f>
        <v>60</v>
      </c>
      <c r="D16" s="78">
        <f>C16*0.036</f>
        <v>2.1599999999999997</v>
      </c>
      <c r="E16" s="78"/>
      <c r="F16" s="79"/>
    </row>
    <row r="17" spans="1:6" x14ac:dyDescent="0.35">
      <c r="A17" s="76" t="s">
        <v>177</v>
      </c>
      <c r="B17" s="77" t="s">
        <v>172</v>
      </c>
      <c r="C17" s="77">
        <f>5*10</f>
        <v>50</v>
      </c>
      <c r="D17" s="78">
        <f t="shared" ref="D17" si="3">C17*0.036</f>
        <v>1.7999999999999998</v>
      </c>
      <c r="E17" s="78"/>
      <c r="F17" s="79"/>
    </row>
    <row r="18" spans="1:6" x14ac:dyDescent="0.35">
      <c r="A18" s="76" t="s">
        <v>178</v>
      </c>
      <c r="B18" s="77" t="s">
        <v>58</v>
      </c>
      <c r="C18" s="77">
        <f>6*10</f>
        <v>60</v>
      </c>
      <c r="D18" s="78">
        <f>C18*0.036</f>
        <v>2.1599999999999997</v>
      </c>
      <c r="E18" s="78"/>
      <c r="F18" s="79"/>
    </row>
    <row r="19" spans="1:6" x14ac:dyDescent="0.35">
      <c r="A19" s="76" t="s">
        <v>179</v>
      </c>
      <c r="B19" s="77" t="s">
        <v>180</v>
      </c>
      <c r="C19" s="77">
        <f>7*10</f>
        <v>70</v>
      </c>
      <c r="D19" s="78">
        <f>C19*0.036</f>
        <v>2.52</v>
      </c>
      <c r="E19" s="78"/>
      <c r="F19" s="79"/>
    </row>
    <row r="20" spans="1:6" x14ac:dyDescent="0.35">
      <c r="A20" s="76" t="s">
        <v>41</v>
      </c>
      <c r="B20" s="77" t="s">
        <v>181</v>
      </c>
      <c r="C20" s="77">
        <f>(4+3+2)*10</f>
        <v>90</v>
      </c>
      <c r="D20" s="78">
        <f>C20*0.036</f>
        <v>3.2399999999999998</v>
      </c>
      <c r="E20" s="78"/>
      <c r="F20" s="79" t="s">
        <v>182</v>
      </c>
    </row>
    <row r="21" spans="1:6" x14ac:dyDescent="0.35">
      <c r="A21" s="76" t="s">
        <v>183</v>
      </c>
      <c r="B21" s="77" t="s">
        <v>174</v>
      </c>
      <c r="C21" s="77">
        <f>10*10</f>
        <v>100</v>
      </c>
      <c r="D21" s="78">
        <f>C21*0.036</f>
        <v>3.5999999999999996</v>
      </c>
      <c r="E21" s="78"/>
      <c r="F21" s="79"/>
    </row>
    <row r="22" spans="1:6" x14ac:dyDescent="0.35">
      <c r="A22" s="79"/>
      <c r="B22" s="79"/>
      <c r="C22" s="79"/>
      <c r="D22" s="79"/>
      <c r="E22" s="79"/>
      <c r="F22" s="79"/>
    </row>
    <row r="23" spans="1:6" x14ac:dyDescent="0.35">
      <c r="A23" s="74" t="s">
        <v>184</v>
      </c>
      <c r="B23" s="74" t="s">
        <v>155</v>
      </c>
      <c r="C23" s="74" t="s">
        <v>156</v>
      </c>
      <c r="D23" s="74" t="s">
        <v>157</v>
      </c>
      <c r="E23" s="74" t="s">
        <v>55</v>
      </c>
      <c r="F23" s="79"/>
    </row>
    <row r="24" spans="1:6" x14ac:dyDescent="0.35">
      <c r="A24" s="76" t="s">
        <v>38</v>
      </c>
      <c r="B24" s="74"/>
      <c r="C24" s="77">
        <v>0</v>
      </c>
      <c r="D24" s="78">
        <f t="shared" ref="D24:D30" si="4">C24*0.036</f>
        <v>0</v>
      </c>
      <c r="E24" s="74"/>
      <c r="F24" s="79"/>
    </row>
    <row r="25" spans="1:6" x14ac:dyDescent="0.35">
      <c r="A25" s="79" t="s">
        <v>46</v>
      </c>
      <c r="B25" s="77" t="s">
        <v>185</v>
      </c>
      <c r="C25" s="77">
        <f>4*10</f>
        <v>40</v>
      </c>
      <c r="D25" s="78">
        <f t="shared" si="4"/>
        <v>1.44</v>
      </c>
      <c r="E25" s="79"/>
      <c r="F25" s="79"/>
    </row>
    <row r="26" spans="1:6" ht="72.5" x14ac:dyDescent="0.35">
      <c r="A26" s="79" t="s">
        <v>186</v>
      </c>
      <c r="B26" s="77" t="s">
        <v>187</v>
      </c>
      <c r="C26" s="77">
        <f>6*10</f>
        <v>60</v>
      </c>
      <c r="D26" s="78">
        <f t="shared" si="4"/>
        <v>2.1599999999999997</v>
      </c>
      <c r="E26" s="79" t="s">
        <v>188</v>
      </c>
      <c r="F26" s="79"/>
    </row>
    <row r="27" spans="1:6" ht="29" x14ac:dyDescent="0.35">
      <c r="A27" s="76" t="s">
        <v>41</v>
      </c>
      <c r="B27" s="77" t="s">
        <v>181</v>
      </c>
      <c r="C27" s="77">
        <f>(4+3+2)*10</f>
        <v>90</v>
      </c>
      <c r="D27" s="78">
        <f>C27*0.036</f>
        <v>3.2399999999999998</v>
      </c>
      <c r="E27" s="79" t="s">
        <v>182</v>
      </c>
      <c r="F27" s="79"/>
    </row>
    <row r="28" spans="1:6" x14ac:dyDescent="0.35">
      <c r="A28" s="76" t="s">
        <v>189</v>
      </c>
      <c r="B28" s="77" t="s">
        <v>190</v>
      </c>
      <c r="C28" s="77">
        <f>2*6*10</f>
        <v>120</v>
      </c>
      <c r="D28" s="78">
        <f t="shared" si="4"/>
        <v>4.3199999999999994</v>
      </c>
      <c r="E28" s="79"/>
      <c r="F28" s="79"/>
    </row>
    <row r="29" spans="1:6" x14ac:dyDescent="0.35">
      <c r="A29" s="76" t="s">
        <v>191</v>
      </c>
      <c r="B29" s="77" t="s">
        <v>192</v>
      </c>
      <c r="C29" s="77">
        <f>3*6*10</f>
        <v>180</v>
      </c>
      <c r="D29" s="78">
        <f t="shared" si="4"/>
        <v>6.4799999999999995</v>
      </c>
      <c r="E29" s="79"/>
      <c r="F29" s="79"/>
    </row>
    <row r="30" spans="1:6" x14ac:dyDescent="0.35">
      <c r="A30" s="76" t="s">
        <v>193</v>
      </c>
      <c r="B30" s="77" t="s">
        <v>194</v>
      </c>
      <c r="C30" s="77">
        <f>4*6*10</f>
        <v>240</v>
      </c>
      <c r="D30" s="78">
        <f t="shared" si="4"/>
        <v>8.6399999999999988</v>
      </c>
      <c r="E30" s="79"/>
      <c r="F30" s="79"/>
    </row>
    <row r="31" spans="1:6" ht="58" x14ac:dyDescent="0.35">
      <c r="A31" s="76" t="s">
        <v>195</v>
      </c>
      <c r="B31" s="77" t="s">
        <v>196</v>
      </c>
      <c r="C31" s="77">
        <f>(10+19+2)*10</f>
        <v>310</v>
      </c>
      <c r="D31" s="78">
        <f>C31*0.036</f>
        <v>11.159999999999998</v>
      </c>
      <c r="E31" s="79" t="s">
        <v>197</v>
      </c>
      <c r="F31" s="79"/>
    </row>
    <row r="32" spans="1:6" ht="87" x14ac:dyDescent="0.35">
      <c r="A32" s="76" t="s">
        <v>198</v>
      </c>
      <c r="B32" s="77" t="s">
        <v>199</v>
      </c>
      <c r="C32" s="77">
        <f>(13+42+10+31)*10</f>
        <v>960</v>
      </c>
      <c r="D32" s="78">
        <f>C32*0.036</f>
        <v>34.559999999999995</v>
      </c>
      <c r="E32" s="79" t="s">
        <v>200</v>
      </c>
      <c r="F32" s="79"/>
    </row>
    <row r="33" spans="1:6" ht="87" x14ac:dyDescent="0.35">
      <c r="A33" s="76" t="s">
        <v>201</v>
      </c>
      <c r="B33" s="77" t="s">
        <v>202</v>
      </c>
      <c r="C33" s="77">
        <f>(13+54+10+31)*10</f>
        <v>1080</v>
      </c>
      <c r="D33" s="78">
        <f>C33*0.036</f>
        <v>38.879999999999995</v>
      </c>
      <c r="E33" s="79" t="s">
        <v>203</v>
      </c>
      <c r="F33" s="79"/>
    </row>
    <row r="34" spans="1:6" x14ac:dyDescent="0.35">
      <c r="A34" s="79"/>
      <c r="B34" s="79"/>
      <c r="C34" s="79"/>
      <c r="D34" s="79"/>
      <c r="E34" s="79"/>
      <c r="F34" s="79"/>
    </row>
    <row r="35" spans="1:6" x14ac:dyDescent="0.35">
      <c r="A35" s="79"/>
      <c r="B35" s="79"/>
      <c r="C35" s="79"/>
      <c r="D35" s="79"/>
      <c r="E35" s="79"/>
      <c r="F35" s="79"/>
    </row>
    <row r="36" spans="1:6" x14ac:dyDescent="0.35">
      <c r="A36" s="74" t="s">
        <v>204</v>
      </c>
      <c r="B36" s="74" t="s">
        <v>155</v>
      </c>
      <c r="C36" s="74" t="s">
        <v>156</v>
      </c>
      <c r="D36" s="74" t="s">
        <v>157</v>
      </c>
      <c r="E36" s="74" t="s">
        <v>55</v>
      </c>
      <c r="F36" s="79"/>
    </row>
    <row r="37" spans="1:6" x14ac:dyDescent="0.35">
      <c r="A37" s="79" t="s">
        <v>205</v>
      </c>
      <c r="B37" s="77" t="s">
        <v>206</v>
      </c>
      <c r="C37" s="77">
        <f>10*10</f>
        <v>100</v>
      </c>
      <c r="D37" s="78">
        <f t="shared" ref="D37" si="5">C37*0.036</f>
        <v>3.5999999999999996</v>
      </c>
      <c r="E37" s="79" t="s">
        <v>101</v>
      </c>
      <c r="F37" s="79"/>
    </row>
    <row r="38" spans="1:6" x14ac:dyDescent="0.35">
      <c r="A38" s="79"/>
      <c r="B38" s="77"/>
      <c r="C38" s="77"/>
      <c r="D38" s="78"/>
      <c r="E38" s="79"/>
      <c r="F38" s="79"/>
    </row>
    <row r="39" spans="1:6" x14ac:dyDescent="0.35">
      <c r="A39" s="79"/>
      <c r="B39" s="77"/>
      <c r="C39" s="77"/>
      <c r="D39" s="78"/>
      <c r="E39" s="79"/>
      <c r="F39" s="79"/>
    </row>
    <row r="40" spans="1:6" x14ac:dyDescent="0.35">
      <c r="A40" s="79"/>
      <c r="B40" s="77"/>
      <c r="C40" s="77"/>
      <c r="D40" s="78"/>
      <c r="E40" s="79"/>
      <c r="F40" s="79"/>
    </row>
    <row r="41" spans="1:6" x14ac:dyDescent="0.35">
      <c r="A41" s="79"/>
      <c r="B41" s="79"/>
      <c r="C41" s="79"/>
      <c r="D41" s="79"/>
      <c r="E41" s="79"/>
      <c r="F41" s="79"/>
    </row>
    <row r="42" spans="1:6" x14ac:dyDescent="0.35">
      <c r="A42" s="74" t="s">
        <v>207</v>
      </c>
      <c r="B42" s="74" t="s">
        <v>155</v>
      </c>
      <c r="C42" s="74" t="s">
        <v>156</v>
      </c>
      <c r="D42" s="74" t="s">
        <v>157</v>
      </c>
      <c r="E42" s="74" t="s">
        <v>55</v>
      </c>
      <c r="F42" s="79"/>
    </row>
    <row r="43" spans="1:6" x14ac:dyDescent="0.35">
      <c r="A43" s="79" t="s">
        <v>34</v>
      </c>
      <c r="B43" s="77" t="s">
        <v>185</v>
      </c>
      <c r="C43" s="77">
        <f>4*10</f>
        <v>40</v>
      </c>
      <c r="D43" s="78">
        <f>C43*0.036</f>
        <v>1.44</v>
      </c>
      <c r="E43" s="79" t="s">
        <v>208</v>
      </c>
      <c r="F43" s="79"/>
    </row>
    <row r="44" spans="1:6" x14ac:dyDescent="0.35">
      <c r="A44" s="79" t="s">
        <v>209</v>
      </c>
      <c r="B44" s="77" t="s">
        <v>210</v>
      </c>
      <c r="C44" s="77">
        <f>2*10</f>
        <v>20</v>
      </c>
      <c r="D44" s="78">
        <f t="shared" ref="D44:D45" si="6">C44*0.036</f>
        <v>0.72</v>
      </c>
      <c r="E44" s="79"/>
      <c r="F44" s="79"/>
    </row>
    <row r="45" spans="1:6" x14ac:dyDescent="0.35">
      <c r="A45" s="79" t="s">
        <v>211</v>
      </c>
      <c r="B45" s="77" t="s">
        <v>212</v>
      </c>
      <c r="C45" s="77">
        <f>2*10</f>
        <v>20</v>
      </c>
      <c r="D45" s="78">
        <f t="shared" si="6"/>
        <v>0.72</v>
      </c>
      <c r="E45" s="79"/>
      <c r="F45" s="79"/>
    </row>
    <row r="46" spans="1:6" x14ac:dyDescent="0.35">
      <c r="A46" s="79" t="s">
        <v>43</v>
      </c>
      <c r="B46" s="77"/>
      <c r="C46" s="77">
        <v>0</v>
      </c>
      <c r="D46" s="78">
        <v>0</v>
      </c>
      <c r="E46" s="79"/>
      <c r="F46" s="79"/>
    </row>
    <row r="47" spans="1:6" x14ac:dyDescent="0.35">
      <c r="A47" s="79"/>
      <c r="B47" s="79"/>
      <c r="C47" s="79"/>
      <c r="D47" s="79"/>
      <c r="E47" s="79"/>
      <c r="F47" s="79"/>
    </row>
    <row r="48" spans="1:6" x14ac:dyDescent="0.35">
      <c r="A48" s="79" t="s">
        <v>213</v>
      </c>
      <c r="B48" s="77" t="s">
        <v>214</v>
      </c>
      <c r="C48" s="77" t="s">
        <v>4</v>
      </c>
      <c r="D48" s="79"/>
      <c r="E48" s="79"/>
      <c r="F48" s="79"/>
    </row>
    <row r="49" spans="1:6" x14ac:dyDescent="0.35">
      <c r="A49" s="79" t="s">
        <v>215</v>
      </c>
      <c r="B49" s="77">
        <v>1500</v>
      </c>
      <c r="C49" s="77"/>
      <c r="D49" s="79"/>
      <c r="E49" s="79"/>
      <c r="F49" s="79"/>
    </row>
    <row r="50" spans="1:6" x14ac:dyDescent="0.35">
      <c r="A50" s="79" t="s">
        <v>216</v>
      </c>
      <c r="B50" s="77">
        <v>0.5</v>
      </c>
      <c r="C50" s="77"/>
      <c r="D50" s="79"/>
      <c r="E50" s="79"/>
      <c r="F50" s="79"/>
    </row>
    <row r="51" spans="1:6" x14ac:dyDescent="0.35">
      <c r="A51" s="79" t="s">
        <v>217</v>
      </c>
      <c r="B51" s="77">
        <v>0.1</v>
      </c>
      <c r="C51" s="77"/>
      <c r="D51" s="79"/>
      <c r="E51" s="79"/>
      <c r="F51" s="79"/>
    </row>
    <row r="52" spans="1:6" x14ac:dyDescent="0.35">
      <c r="A52" s="79" t="s">
        <v>218</v>
      </c>
      <c r="B52" s="77">
        <v>5</v>
      </c>
      <c r="C52" s="77"/>
      <c r="D52" s="79"/>
      <c r="E52" s="79"/>
      <c r="F52" s="79"/>
    </row>
    <row r="53" spans="1:6" x14ac:dyDescent="0.35">
      <c r="A53" s="79" t="s">
        <v>219</v>
      </c>
      <c r="B53" s="77">
        <v>1000</v>
      </c>
      <c r="C53" s="77"/>
      <c r="D53" s="79"/>
      <c r="E53" s="79"/>
      <c r="F53" s="79"/>
    </row>
    <row r="54" spans="1:6" x14ac:dyDescent="0.35">
      <c r="A54" s="79" t="s">
        <v>220</v>
      </c>
      <c r="B54" s="77">
        <f>B49*2</f>
        <v>3000</v>
      </c>
      <c r="C54" s="77"/>
      <c r="D54" s="79"/>
      <c r="E54" s="79"/>
      <c r="F54" s="79"/>
    </row>
    <row r="55" spans="1:6" x14ac:dyDescent="0.35">
      <c r="A55" s="79" t="s">
        <v>221</v>
      </c>
      <c r="B55" s="77">
        <v>4</v>
      </c>
      <c r="C55" s="77"/>
      <c r="D55" s="79"/>
      <c r="E55" s="79"/>
      <c r="F55" s="79"/>
    </row>
    <row r="56" spans="1:6" x14ac:dyDescent="0.35">
      <c r="A56" s="79" t="s">
        <v>222</v>
      </c>
      <c r="B56" s="77">
        <v>2</v>
      </c>
      <c r="C56" s="77"/>
      <c r="D56" s="79"/>
      <c r="E56" s="79"/>
      <c r="F56" s="79"/>
    </row>
    <row r="57" spans="1:6" x14ac:dyDescent="0.35">
      <c r="A57" s="79" t="s">
        <v>223</v>
      </c>
      <c r="B57" s="77">
        <v>300</v>
      </c>
      <c r="C57" s="77"/>
      <c r="D57" s="79"/>
      <c r="E57" s="79"/>
      <c r="F57" s="79"/>
    </row>
    <row r="58" spans="1:6" x14ac:dyDescent="0.35">
      <c r="A58" s="79" t="s">
        <v>224</v>
      </c>
      <c r="B58" s="77">
        <v>150</v>
      </c>
      <c r="C58" s="77"/>
      <c r="D58" s="79"/>
      <c r="E58" s="79"/>
      <c r="F58" s="79"/>
    </row>
    <row r="59" spans="1:6" x14ac:dyDescent="0.35">
      <c r="A59" s="79" t="s">
        <v>225</v>
      </c>
      <c r="B59" s="77">
        <v>3</v>
      </c>
      <c r="C59" s="77"/>
      <c r="D59" s="79"/>
      <c r="E59" s="79"/>
      <c r="F59" s="79"/>
    </row>
    <row r="60" spans="1:6" x14ac:dyDescent="0.35">
      <c r="A60" s="79" t="s">
        <v>226</v>
      </c>
      <c r="B60" s="77">
        <v>5</v>
      </c>
      <c r="C60" s="77"/>
      <c r="D60" s="79"/>
      <c r="E60" s="79"/>
      <c r="F60" s="79"/>
    </row>
    <row r="61" spans="1:6" x14ac:dyDescent="0.35">
      <c r="A61" s="79" t="s">
        <v>227</v>
      </c>
      <c r="B61" s="77">
        <v>10</v>
      </c>
      <c r="C61" s="77"/>
      <c r="D61" s="79"/>
      <c r="E61" s="79"/>
      <c r="F61" s="79"/>
    </row>
    <row r="62" spans="1:6" x14ac:dyDescent="0.35">
      <c r="A62" s="79" t="s">
        <v>228</v>
      </c>
      <c r="B62" s="77">
        <v>3</v>
      </c>
      <c r="C62" s="77"/>
      <c r="D62" s="79"/>
      <c r="E62" s="79"/>
      <c r="F62" s="79"/>
    </row>
    <row r="63" spans="1:6" x14ac:dyDescent="0.35">
      <c r="A63" s="80" t="s">
        <v>229</v>
      </c>
      <c r="B63" s="81">
        <v>3</v>
      </c>
      <c r="C63" s="81"/>
    </row>
    <row r="64" spans="1:6" ht="101.5" x14ac:dyDescent="0.35">
      <c r="A64" s="80" t="s">
        <v>230</v>
      </c>
      <c r="B64" s="81">
        <v>100</v>
      </c>
      <c r="C64" s="82" t="s">
        <v>231</v>
      </c>
    </row>
    <row r="65" spans="1:3" x14ac:dyDescent="0.35">
      <c r="A65" s="80" t="s">
        <v>232</v>
      </c>
      <c r="B65" s="81">
        <v>4</v>
      </c>
      <c r="C65" s="81"/>
    </row>
    <row r="66" spans="1:3" x14ac:dyDescent="0.35">
      <c r="A66" s="80" t="s">
        <v>233</v>
      </c>
      <c r="B66" s="81">
        <v>2</v>
      </c>
      <c r="C66" s="81"/>
    </row>
    <row r="67" spans="1:3" x14ac:dyDescent="0.35">
      <c r="A67" s="80" t="s">
        <v>313</v>
      </c>
      <c r="B67" s="81">
        <v>12000</v>
      </c>
      <c r="C67" s="81"/>
    </row>
    <row r="68" spans="1:3" x14ac:dyDescent="0.35">
      <c r="A68" s="80" t="s">
        <v>308</v>
      </c>
      <c r="B68" s="81">
        <v>150</v>
      </c>
      <c r="C68" s="81"/>
    </row>
    <row r="69" spans="1:3" x14ac:dyDescent="0.35">
      <c r="B69" s="81"/>
    </row>
    <row r="70" spans="1:3" x14ac:dyDescent="0.35">
      <c r="B70" s="81"/>
    </row>
    <row r="71" spans="1:3" x14ac:dyDescent="0.35">
      <c r="A71" s="80" t="s">
        <v>234</v>
      </c>
      <c r="B71" s="80" t="s">
        <v>235</v>
      </c>
    </row>
    <row r="72" spans="1:3" x14ac:dyDescent="0.35">
      <c r="A72" s="80" t="s">
        <v>236</v>
      </c>
      <c r="B72" s="81">
        <f>B49/(B50*1000)</f>
        <v>3</v>
      </c>
    </row>
    <row r="73" spans="1:3" x14ac:dyDescent="0.35">
      <c r="A73" s="80" t="s">
        <v>44</v>
      </c>
      <c r="B73" s="81">
        <v>0</v>
      </c>
    </row>
    <row r="74" spans="1:3" x14ac:dyDescent="0.35">
      <c r="A74" s="80" t="s">
        <v>35</v>
      </c>
      <c r="B74" s="81">
        <f>B53/(B50*1000)+B52</f>
        <v>7</v>
      </c>
    </row>
    <row r="75" spans="1:3" x14ac:dyDescent="0.35">
      <c r="A75" s="80" t="s">
        <v>237</v>
      </c>
      <c r="B75" s="81">
        <f>B74*2</f>
        <v>14</v>
      </c>
    </row>
    <row r="76" spans="1:3" x14ac:dyDescent="0.35">
      <c r="A76" s="80" t="s">
        <v>238</v>
      </c>
      <c r="B76" s="81">
        <f>B54/(B50*1000)</f>
        <v>6</v>
      </c>
    </row>
    <row r="77" spans="1:3" x14ac:dyDescent="0.35">
      <c r="A77" s="80" t="s">
        <v>239</v>
      </c>
      <c r="B77" s="81">
        <f>(B57/B58)+B65</f>
        <v>6</v>
      </c>
    </row>
    <row r="78" spans="1:3" x14ac:dyDescent="0.35">
      <c r="A78" s="80" t="s">
        <v>240</v>
      </c>
      <c r="B78" s="81">
        <f>50/(B51*1000)</f>
        <v>0.5</v>
      </c>
    </row>
    <row r="79" spans="1:3" x14ac:dyDescent="0.35">
      <c r="A79" s="80" t="s">
        <v>241</v>
      </c>
      <c r="B79" s="81">
        <f>200/(B51*1000)</f>
        <v>2</v>
      </c>
    </row>
    <row r="80" spans="1:3" x14ac:dyDescent="0.35">
      <c r="B80" s="81"/>
    </row>
    <row r="81" spans="1:2" x14ac:dyDescent="0.35">
      <c r="B81" s="81"/>
    </row>
    <row r="83" spans="1:2" x14ac:dyDescent="0.35">
      <c r="A83" s="83" t="s">
        <v>258</v>
      </c>
    </row>
    <row r="84" spans="1:2" x14ac:dyDescent="0.35">
      <c r="A84" s="87" t="s">
        <v>256</v>
      </c>
    </row>
    <row r="85" spans="1:2" x14ac:dyDescent="0.35">
      <c r="A85" s="87" t="s">
        <v>257</v>
      </c>
    </row>
    <row r="86" spans="1:2" x14ac:dyDescent="0.35">
      <c r="A86" s="84" t="s">
        <v>328</v>
      </c>
    </row>
    <row r="87" spans="1:2" x14ac:dyDescent="0.35">
      <c r="A87" s="87" t="s">
        <v>329</v>
      </c>
    </row>
  </sheetData>
  <phoneticPr fontId="2" type="noConversion"/>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9cf2b55-e152-4a27-a5b0-c6ee8f93a09c" xsi:nil="true"/>
    <lcf76f155ced4ddcb4097134ff3c332f xmlns="07293bae-2750-49d7-9162-cee4ec6ac638">
      <Terms xmlns="http://schemas.microsoft.com/office/infopath/2007/PartnerControls"/>
    </lcf76f155ced4ddcb4097134ff3c332f>
    <image xmlns="07293bae-2750-49d7-9162-cee4ec6ac6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B915AED89A3548AB063F08D80150EE" ma:contentTypeVersion="32" ma:contentTypeDescription="Create a new document." ma:contentTypeScope="" ma:versionID="9e8715d6c366ebaf4adb12fe1f6bd789">
  <xsd:schema xmlns:xsd="http://www.w3.org/2001/XMLSchema" xmlns:xs="http://www.w3.org/2001/XMLSchema" xmlns:p="http://schemas.microsoft.com/office/2006/metadata/properties" xmlns:ns2="07293bae-2750-49d7-9162-cee4ec6ac638" xmlns:ns3="59cf2b55-e152-4a27-a5b0-c6ee8f93a09c" targetNamespace="http://schemas.microsoft.com/office/2006/metadata/properties" ma:root="true" ma:fieldsID="0835042cc095055de06d0bdd7d0eafd0" ns2:_="" ns3:_="">
    <xsd:import namespace="07293bae-2750-49d7-9162-cee4ec6ac638"/>
    <xsd:import namespace="59cf2b55-e152-4a27-a5b0-c6ee8f93a0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imag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93bae-2750-49d7-9162-cee4ec6ac6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b6fc0cd-01fe-45a4-a6f7-42bcc5426b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image" ma:index="26" nillable="true" ma:displayName="image" ma:format="Thumbnail" ma:internalName="image">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cf2b55-e152-4a27-a5b0-c6ee8f93a09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deba720-18d8-463a-a590-53ca4a67b869}" ma:internalName="TaxCatchAll" ma:showField="CatchAllData" ma:web="59cf2b55-e152-4a27-a5b0-c6ee8f93a0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47C74C-7CB0-47EB-AD39-404F1B758172}">
  <ds:schemaRefs>
    <ds:schemaRef ds:uri="http://schemas.microsoft.com/sharepoint/v3/contenttype/forms"/>
  </ds:schemaRefs>
</ds:datastoreItem>
</file>

<file path=customXml/itemProps2.xml><?xml version="1.0" encoding="utf-8"?>
<ds:datastoreItem xmlns:ds="http://schemas.openxmlformats.org/officeDocument/2006/customXml" ds:itemID="{CC99D9BF-ED31-41F8-8A08-494EEF1E9CFB}">
  <ds:schemaRefs>
    <ds:schemaRef ds:uri="http://schemas.microsoft.com/office/2006/metadata/properties"/>
    <ds:schemaRef ds:uri="http://purl.org/dc/terms/"/>
    <ds:schemaRef ds:uri="http://schemas.microsoft.com/office/infopath/2007/PartnerControls"/>
    <ds:schemaRef ds:uri="http://purl.org/dc/elements/1.1/"/>
    <ds:schemaRef ds:uri="59cf2b55-e152-4a27-a5b0-c6ee8f93a09c"/>
    <ds:schemaRef ds:uri="http://schemas.microsoft.com/office/2006/documentManagement/types"/>
    <ds:schemaRef ds:uri="http://www.w3.org/XML/1998/namespace"/>
    <ds:schemaRef ds:uri="http://schemas.openxmlformats.org/package/2006/metadata/core-properties"/>
    <ds:schemaRef ds:uri="07293bae-2750-49d7-9162-cee4ec6ac638"/>
    <ds:schemaRef ds:uri="http://purl.org/dc/dcmitype/"/>
  </ds:schemaRefs>
</ds:datastoreItem>
</file>

<file path=customXml/itemProps3.xml><?xml version="1.0" encoding="utf-8"?>
<ds:datastoreItem xmlns:ds="http://schemas.openxmlformats.org/officeDocument/2006/customXml" ds:itemID="{000113D9-95A2-4243-A698-CB6657CAB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93bae-2750-49d7-9162-cee4ec6ac638"/>
    <ds:schemaRef ds:uri="59cf2b55-e152-4a27-a5b0-c6ee8f93a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Instructions</vt:lpstr>
      <vt:lpstr>Re-DiM_Template</vt:lpstr>
      <vt:lpstr>Re-DiM_Example_PC</vt:lpstr>
      <vt:lpstr>Re-DiM_Example_PriorityPart_FAN</vt:lpstr>
      <vt:lpstr>Connectors List</vt:lpstr>
      <vt:lpstr>Action Time</vt:lpstr>
      <vt:lpstr>'Re-DiM_Example_PC'!Connector_list</vt:lpstr>
      <vt:lpstr>'Re-DiM_Example_PriorityPart_FAN'!Connector_list</vt:lpstr>
      <vt:lpstr>'Re-DiM_Template'!Connector_list</vt:lpstr>
      <vt:lpstr>Connector_list</vt:lpstr>
      <vt:lpstr>'Re-DiM_Example_PC'!manipulation_type</vt:lpstr>
      <vt:lpstr>'Re-DiM_Example_PriorityPart_FAN'!manipulation_type</vt:lpstr>
      <vt:lpstr>'Re-DiM_Template'!manipulation_type</vt:lpstr>
      <vt:lpstr>manipulation_type</vt:lpstr>
      <vt:lpstr>'Re-DiM_Example_PC'!manual_tool_change</vt:lpstr>
      <vt:lpstr>'Re-DiM_Example_PriorityPart_FAN'!manual_tool_change</vt:lpstr>
      <vt:lpstr>manual_tool_change</vt:lpstr>
      <vt:lpstr>'Re-DiM_Example_PC'!positioning_type</vt:lpstr>
      <vt:lpstr>'Re-DiM_Example_PriorityPart_FAN'!positioning_type</vt:lpstr>
      <vt:lpstr>'Re-DiM_Template'!positioning_type</vt:lpstr>
      <vt:lpstr>positioning_type</vt:lpstr>
      <vt:lpstr>'Re-DiM_Example_PC'!removal_type</vt:lpstr>
      <vt:lpstr>'Re-DiM_Example_PriorityPart_FAN'!removal_type</vt:lpstr>
      <vt:lpstr>'Re-DiM_Template'!removal_type</vt:lpstr>
      <vt:lpstr>removal_type</vt:lpstr>
      <vt:lpstr>'Re-DiM_Example_PC'!Robot_parameter_list</vt:lpstr>
      <vt:lpstr>'Re-DiM_Example_PriorityPart_FAN'!Robot_parameter_list</vt:lpstr>
      <vt:lpstr>Robot_parameter_list</vt:lpstr>
    </vt:vector>
  </TitlesOfParts>
  <Manager/>
  <Company>KU Leuven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Vanegas</dc:creator>
  <cp:keywords/>
  <dc:description/>
  <cp:lastModifiedBy>Núria Boix Rodríguez</cp:lastModifiedBy>
  <cp:revision/>
  <dcterms:created xsi:type="dcterms:W3CDTF">2016-08-01T16:29:44Z</dcterms:created>
  <dcterms:modified xsi:type="dcterms:W3CDTF">2026-04-24T09:07:10Z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0x0101002AB915AED89A3548AB063F08D80150EE</vt:lpwstr>
  </property>
  <property fmtid="{D5CDD505-2E9C-101B-9397-08002B2CF9AE}" pid="3" name="MediaServiceImageTags">
    <vt:lpwstr/>
  </property>
</Properties>
</file>